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cconnect-my.sharepoint.com/personal/jadelcourt_ncdot_gov/Documents/1 - Safe Routes to School/Strategic Plan/Task 6 - NI Program Redesign/"/>
    </mc:Choice>
  </mc:AlternateContent>
  <xr:revisionPtr revIDLastSave="3" documentId="8_{40AEC836-5379-4ECD-8253-AFA0061CD65F}" xr6:coauthVersionLast="47" xr6:coauthVersionMax="47" xr10:uidLastSave="{B46038F9-0EAD-436C-97D7-3451FAC2104E}"/>
  <bookViews>
    <workbookView xWindow="-108" yWindow="-108" windowWidth="23256" windowHeight="13896" xr2:uid="{00000000-000D-0000-FFFF-FFFF00000000}"/>
  </bookViews>
  <sheets>
    <sheet name="School Information" sheetId="2" r:id="rId1"/>
    <sheet name="EDS Lookup"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19" i="3" l="1"/>
  <c r="H2818" i="3"/>
  <c r="H2817" i="3"/>
  <c r="H2816" i="3"/>
  <c r="H2815" i="3"/>
  <c r="H2814" i="3"/>
  <c r="H2813" i="3"/>
  <c r="H2812" i="3"/>
  <c r="H2811" i="3"/>
  <c r="H2810" i="3"/>
  <c r="H2809" i="3"/>
  <c r="H2808" i="3"/>
  <c r="H2807" i="3"/>
  <c r="H2806" i="3"/>
  <c r="H2805" i="3"/>
  <c r="H2804" i="3"/>
  <c r="H2803" i="3"/>
  <c r="H2802" i="3"/>
  <c r="H2801" i="3"/>
  <c r="H2800" i="3"/>
  <c r="H2799" i="3"/>
  <c r="H2798" i="3"/>
  <c r="H2797" i="3"/>
  <c r="H2796" i="3"/>
  <c r="H2795" i="3"/>
  <c r="H2794" i="3"/>
  <c r="H2793" i="3"/>
  <c r="H2792" i="3"/>
  <c r="H2791" i="3"/>
  <c r="H2790" i="3"/>
  <c r="H2789" i="3"/>
  <c r="H2788" i="3"/>
  <c r="H2787" i="3"/>
  <c r="H2786" i="3"/>
  <c r="H2785" i="3"/>
  <c r="H2784" i="3"/>
  <c r="H2783" i="3"/>
  <c r="H2782" i="3"/>
  <c r="H2781" i="3"/>
  <c r="H2780" i="3"/>
  <c r="H2779" i="3"/>
  <c r="H2778" i="3"/>
  <c r="H2777" i="3"/>
  <c r="H2776" i="3"/>
  <c r="H2775" i="3"/>
  <c r="H2774" i="3"/>
  <c r="H2773" i="3"/>
  <c r="H2772" i="3"/>
  <c r="H2771" i="3"/>
  <c r="H2770" i="3"/>
  <c r="H2769" i="3"/>
  <c r="H2768" i="3"/>
  <c r="H2767" i="3"/>
  <c r="H2766" i="3"/>
  <c r="H2765" i="3"/>
  <c r="H2764" i="3"/>
  <c r="H2763" i="3"/>
  <c r="H2762" i="3"/>
  <c r="H2761" i="3"/>
  <c r="H2760" i="3"/>
  <c r="H2759" i="3"/>
  <c r="H2758" i="3"/>
  <c r="H2757" i="3"/>
  <c r="H2756" i="3"/>
  <c r="H2755" i="3"/>
  <c r="H2754" i="3"/>
  <c r="H2753" i="3"/>
  <c r="H2752" i="3"/>
  <c r="H2751" i="3"/>
  <c r="H2750" i="3"/>
  <c r="H2749" i="3"/>
  <c r="H2748" i="3"/>
  <c r="H2747" i="3"/>
  <c r="H2746" i="3"/>
  <c r="H2745" i="3"/>
  <c r="H2744" i="3"/>
  <c r="H2743" i="3"/>
  <c r="H2742" i="3"/>
  <c r="H2741" i="3"/>
  <c r="H2740" i="3"/>
  <c r="H2739" i="3"/>
  <c r="H2738" i="3"/>
  <c r="H2737" i="3"/>
  <c r="H2736" i="3"/>
  <c r="H2735" i="3"/>
  <c r="H2734" i="3"/>
  <c r="H2733" i="3"/>
  <c r="H2732" i="3"/>
  <c r="H2731" i="3"/>
  <c r="H2730" i="3"/>
  <c r="H2729" i="3"/>
  <c r="H2728" i="3"/>
  <c r="H2727" i="3"/>
  <c r="H2726" i="3"/>
  <c r="H2725" i="3"/>
  <c r="H2724" i="3"/>
  <c r="H2723" i="3"/>
  <c r="H2722" i="3"/>
  <c r="H2721" i="3"/>
  <c r="H2720" i="3"/>
  <c r="H2719" i="3"/>
  <c r="H2718" i="3"/>
  <c r="H2717" i="3"/>
  <c r="H2716" i="3"/>
  <c r="H2715" i="3"/>
  <c r="H2714" i="3"/>
  <c r="H2713" i="3"/>
  <c r="H2712" i="3"/>
  <c r="H2711" i="3"/>
  <c r="H2710" i="3"/>
  <c r="H2709" i="3"/>
  <c r="H2708" i="3"/>
  <c r="H2707" i="3"/>
  <c r="H2706" i="3"/>
  <c r="H2705" i="3"/>
  <c r="H2704" i="3"/>
  <c r="H2703" i="3"/>
  <c r="H2702" i="3"/>
  <c r="H2701" i="3"/>
  <c r="H2700" i="3"/>
  <c r="H2699" i="3"/>
  <c r="H2698" i="3"/>
  <c r="H2697" i="3"/>
  <c r="H2696" i="3"/>
  <c r="H2695" i="3"/>
  <c r="H2694" i="3"/>
  <c r="H2693" i="3"/>
  <c r="H2692" i="3"/>
  <c r="H2691" i="3"/>
  <c r="H2690" i="3"/>
  <c r="H2689" i="3"/>
  <c r="H2688" i="3"/>
  <c r="H2687" i="3"/>
  <c r="H2686" i="3"/>
  <c r="H2685" i="3"/>
  <c r="H2684" i="3"/>
  <c r="H2683" i="3"/>
  <c r="H2682" i="3"/>
  <c r="H2681" i="3"/>
  <c r="H2680" i="3"/>
  <c r="H2679" i="3"/>
  <c r="H2678" i="3"/>
  <c r="H2677" i="3"/>
  <c r="H2676" i="3"/>
  <c r="H2675" i="3"/>
  <c r="H2674" i="3"/>
  <c r="H2673" i="3"/>
  <c r="H2672" i="3"/>
  <c r="H2671" i="3"/>
  <c r="H2670" i="3"/>
  <c r="H2669" i="3"/>
  <c r="H2668" i="3"/>
  <c r="H2667" i="3"/>
  <c r="H2666" i="3"/>
  <c r="H2665" i="3"/>
  <c r="H2664" i="3"/>
  <c r="H2663" i="3"/>
  <c r="H2662" i="3"/>
  <c r="H2661" i="3"/>
  <c r="H2660" i="3"/>
  <c r="H2659" i="3"/>
  <c r="H2658" i="3"/>
  <c r="H2657" i="3"/>
  <c r="H2656" i="3"/>
  <c r="H2655" i="3"/>
  <c r="H2654" i="3"/>
  <c r="H2653" i="3"/>
  <c r="H2652" i="3"/>
  <c r="H2651" i="3"/>
  <c r="H2650" i="3"/>
  <c r="H2649" i="3"/>
  <c r="H2648" i="3"/>
  <c r="H2647" i="3"/>
  <c r="H2646" i="3"/>
  <c r="H2645" i="3"/>
  <c r="H2644" i="3"/>
  <c r="H2643" i="3"/>
  <c r="H2642" i="3"/>
  <c r="H2641" i="3"/>
  <c r="H2640" i="3"/>
  <c r="H2639" i="3"/>
  <c r="H2638" i="3"/>
  <c r="H2637" i="3"/>
  <c r="H2636" i="3"/>
  <c r="H2635" i="3"/>
  <c r="H2634" i="3"/>
  <c r="H2633" i="3"/>
  <c r="H2632" i="3"/>
  <c r="H2631" i="3"/>
  <c r="H2630" i="3"/>
  <c r="H2629" i="3"/>
  <c r="H2628" i="3"/>
  <c r="H2627" i="3"/>
  <c r="H2626" i="3"/>
  <c r="H2625" i="3"/>
  <c r="H2624" i="3"/>
  <c r="H2623" i="3"/>
  <c r="H2622" i="3"/>
  <c r="H2621" i="3"/>
  <c r="H2620" i="3"/>
  <c r="H2619" i="3"/>
  <c r="H2618" i="3"/>
  <c r="H2617" i="3"/>
  <c r="H2616" i="3"/>
  <c r="H2615" i="3"/>
  <c r="H2614" i="3"/>
  <c r="H2613" i="3"/>
  <c r="H2612" i="3"/>
  <c r="H2611" i="3"/>
  <c r="H2610" i="3"/>
  <c r="H2609" i="3"/>
  <c r="H2608" i="3"/>
  <c r="H2607" i="3"/>
  <c r="H2606" i="3"/>
  <c r="H2605" i="3"/>
  <c r="H2604" i="3"/>
  <c r="H2603" i="3"/>
  <c r="H2602" i="3"/>
  <c r="H2601" i="3"/>
  <c r="H2600" i="3"/>
  <c r="H2599" i="3"/>
  <c r="H2598" i="3"/>
  <c r="H2597" i="3"/>
  <c r="H2596" i="3"/>
  <c r="H2595" i="3"/>
  <c r="H2594" i="3"/>
  <c r="H2593" i="3"/>
  <c r="H2592" i="3"/>
  <c r="H2591" i="3"/>
  <c r="H2590" i="3"/>
  <c r="H2589" i="3"/>
  <c r="H2588" i="3"/>
  <c r="H2587" i="3"/>
  <c r="H2586" i="3"/>
  <c r="H2585" i="3"/>
  <c r="H2584" i="3"/>
  <c r="H2583" i="3"/>
  <c r="H2582" i="3"/>
  <c r="H2581" i="3"/>
  <c r="H2580" i="3"/>
  <c r="H2579" i="3"/>
  <c r="H2578" i="3"/>
  <c r="H2577" i="3"/>
  <c r="H2576" i="3"/>
  <c r="H2575" i="3"/>
  <c r="H2574" i="3"/>
  <c r="H2573" i="3"/>
  <c r="H2572" i="3"/>
  <c r="H2571" i="3"/>
  <c r="H2570" i="3"/>
  <c r="H2569" i="3"/>
  <c r="H2568" i="3"/>
  <c r="H2567" i="3"/>
  <c r="H2566" i="3"/>
  <c r="H2565" i="3"/>
  <c r="H2564" i="3"/>
  <c r="H2563" i="3"/>
  <c r="H2562" i="3"/>
  <c r="H2561" i="3"/>
  <c r="H2560" i="3"/>
  <c r="H2559" i="3"/>
  <c r="H2558" i="3"/>
  <c r="H2557" i="3"/>
  <c r="H2556" i="3"/>
  <c r="H2555" i="3"/>
  <c r="H2554" i="3"/>
  <c r="H2553" i="3"/>
  <c r="H2552" i="3"/>
  <c r="H2551" i="3"/>
  <c r="H2550" i="3"/>
  <c r="H2549" i="3"/>
  <c r="H2548" i="3"/>
  <c r="H2547" i="3"/>
  <c r="H2546" i="3"/>
  <c r="H2545" i="3"/>
  <c r="H2544" i="3"/>
  <c r="H2543" i="3"/>
  <c r="H2542" i="3"/>
  <c r="H2541" i="3"/>
  <c r="H2540" i="3"/>
  <c r="H2539" i="3"/>
  <c r="H2538" i="3"/>
  <c r="H2537" i="3"/>
  <c r="H2536" i="3"/>
  <c r="H2535" i="3"/>
  <c r="H2534" i="3"/>
  <c r="H2533" i="3"/>
  <c r="H2532" i="3"/>
  <c r="H2531" i="3"/>
  <c r="H2530" i="3"/>
  <c r="H2529" i="3"/>
  <c r="H2528" i="3"/>
  <c r="H2527" i="3"/>
  <c r="H2526" i="3"/>
  <c r="H2525" i="3"/>
  <c r="H2524" i="3"/>
  <c r="H2523" i="3"/>
  <c r="H2522" i="3"/>
  <c r="H2521" i="3"/>
  <c r="H2520" i="3"/>
  <c r="H2519" i="3"/>
  <c r="H2518" i="3"/>
  <c r="H2517" i="3"/>
  <c r="H2516" i="3"/>
  <c r="H2515" i="3"/>
  <c r="H2514" i="3"/>
  <c r="H2513" i="3"/>
  <c r="H2512" i="3"/>
  <c r="H2511" i="3"/>
  <c r="H2510" i="3"/>
  <c r="H2509" i="3"/>
  <c r="H2508" i="3"/>
  <c r="H2507" i="3"/>
  <c r="H2506" i="3"/>
  <c r="H2505" i="3"/>
  <c r="H2504" i="3"/>
  <c r="H2503" i="3"/>
  <c r="H2502" i="3"/>
  <c r="H2501" i="3"/>
  <c r="H2500" i="3"/>
  <c r="H2499" i="3"/>
  <c r="H2498" i="3"/>
  <c r="H2497" i="3"/>
  <c r="H2496" i="3"/>
  <c r="H2495" i="3"/>
  <c r="H2494" i="3"/>
  <c r="H2493" i="3"/>
  <c r="H2492" i="3"/>
  <c r="H2491" i="3"/>
  <c r="H2490" i="3"/>
  <c r="H2489" i="3"/>
  <c r="H2488" i="3"/>
  <c r="H2487" i="3"/>
  <c r="H2486" i="3"/>
  <c r="H2485" i="3"/>
  <c r="H2484" i="3"/>
  <c r="H2483" i="3"/>
  <c r="H2482" i="3"/>
  <c r="H2481" i="3"/>
  <c r="H2480" i="3"/>
  <c r="H2479" i="3"/>
  <c r="H2478" i="3"/>
  <c r="H2477" i="3"/>
  <c r="H2476" i="3"/>
  <c r="H2475" i="3"/>
  <c r="H2474" i="3"/>
  <c r="H2473" i="3"/>
  <c r="H2472" i="3"/>
  <c r="H2471" i="3"/>
  <c r="H2470" i="3"/>
  <c r="H2469" i="3"/>
  <c r="H2468" i="3"/>
  <c r="H2467" i="3"/>
  <c r="H2466" i="3"/>
  <c r="H2465" i="3"/>
  <c r="H2464" i="3"/>
  <c r="H2463" i="3"/>
  <c r="H2462" i="3"/>
  <c r="H2461" i="3"/>
  <c r="H2460" i="3"/>
  <c r="H2459" i="3"/>
  <c r="H2458" i="3"/>
  <c r="H2457" i="3"/>
  <c r="H2456" i="3"/>
  <c r="H2455" i="3"/>
  <c r="H2454" i="3"/>
  <c r="H2453" i="3"/>
  <c r="H2452" i="3"/>
  <c r="H2451" i="3"/>
  <c r="H2450" i="3"/>
  <c r="H2449" i="3"/>
  <c r="H2448" i="3"/>
  <c r="H2447" i="3"/>
  <c r="H2446" i="3"/>
  <c r="H2445" i="3"/>
  <c r="H2444" i="3"/>
  <c r="H2443" i="3"/>
  <c r="H2442" i="3"/>
  <c r="H2441" i="3"/>
  <c r="H2440" i="3"/>
  <c r="H2439" i="3"/>
  <c r="H2438" i="3"/>
  <c r="H2437" i="3"/>
  <c r="H2436" i="3"/>
  <c r="H2435" i="3"/>
  <c r="H2434" i="3"/>
  <c r="H2433" i="3"/>
  <c r="H2432" i="3"/>
  <c r="H2431" i="3"/>
  <c r="H2430" i="3"/>
  <c r="H2429" i="3"/>
  <c r="H2428" i="3"/>
  <c r="H2427" i="3"/>
  <c r="H2426" i="3"/>
  <c r="H2425" i="3"/>
  <c r="H2424" i="3"/>
  <c r="H2423" i="3"/>
  <c r="H2422" i="3"/>
  <c r="H2421" i="3"/>
  <c r="H2420" i="3"/>
  <c r="H2419" i="3"/>
  <c r="H2418" i="3"/>
  <c r="H2417" i="3"/>
  <c r="H2416" i="3"/>
  <c r="H2415" i="3"/>
  <c r="H2414" i="3"/>
  <c r="H2413" i="3"/>
  <c r="H2412" i="3"/>
  <c r="H2411" i="3"/>
  <c r="H2410" i="3"/>
  <c r="H2409" i="3"/>
  <c r="H2408" i="3"/>
  <c r="H2407" i="3"/>
  <c r="H2406" i="3"/>
  <c r="H2405" i="3"/>
  <c r="H2404" i="3"/>
  <c r="H2403" i="3"/>
  <c r="H2402" i="3"/>
  <c r="H2401" i="3"/>
  <c r="H2400" i="3"/>
  <c r="H2399" i="3"/>
  <c r="H2398" i="3"/>
  <c r="H2397" i="3"/>
  <c r="H2396" i="3"/>
  <c r="H2395" i="3"/>
  <c r="H2394" i="3"/>
  <c r="H2393" i="3"/>
  <c r="H2392" i="3"/>
  <c r="H2391" i="3"/>
  <c r="H2390" i="3"/>
  <c r="H2389" i="3"/>
  <c r="H2388" i="3"/>
  <c r="H2387" i="3"/>
  <c r="H2386" i="3"/>
  <c r="H2385" i="3"/>
  <c r="H2384" i="3"/>
  <c r="H2383" i="3"/>
  <c r="H2382" i="3"/>
  <c r="H2381" i="3"/>
  <c r="H2380" i="3"/>
  <c r="H2379" i="3"/>
  <c r="H2378" i="3"/>
  <c r="H2377" i="3"/>
  <c r="H2376" i="3"/>
  <c r="H2375" i="3"/>
  <c r="H2374" i="3"/>
  <c r="H2373" i="3"/>
  <c r="H2372" i="3"/>
  <c r="H2371" i="3"/>
  <c r="H2370" i="3"/>
  <c r="H2369" i="3"/>
  <c r="H2368" i="3"/>
  <c r="H2367" i="3"/>
  <c r="H2366" i="3"/>
  <c r="H2365" i="3"/>
  <c r="H2364" i="3"/>
  <c r="H2363" i="3"/>
  <c r="H2362" i="3"/>
  <c r="H2361" i="3"/>
  <c r="H2360" i="3"/>
  <c r="H2359" i="3"/>
  <c r="H2358" i="3"/>
  <c r="H2357" i="3"/>
  <c r="H2356" i="3"/>
  <c r="H2355" i="3"/>
  <c r="H2354" i="3"/>
  <c r="H2353" i="3"/>
  <c r="H2352" i="3"/>
  <c r="H2351" i="3"/>
  <c r="H2350" i="3"/>
  <c r="H2349" i="3"/>
  <c r="H2348" i="3"/>
  <c r="H2347" i="3"/>
  <c r="H2346" i="3"/>
  <c r="H2345" i="3"/>
  <c r="H2344" i="3"/>
  <c r="H2343" i="3"/>
  <c r="H2342" i="3"/>
  <c r="H2341" i="3"/>
  <c r="H2340" i="3"/>
  <c r="H2339" i="3"/>
  <c r="H2338" i="3"/>
  <c r="H2337" i="3"/>
  <c r="H2336" i="3"/>
  <c r="H2335" i="3"/>
  <c r="H2334" i="3"/>
  <c r="H2333" i="3"/>
  <c r="H2332" i="3"/>
  <c r="H2331" i="3"/>
  <c r="H2330" i="3"/>
  <c r="H2329" i="3"/>
  <c r="H2328" i="3"/>
  <c r="H2327" i="3"/>
  <c r="H2326" i="3"/>
  <c r="H2325" i="3"/>
  <c r="H2324" i="3"/>
  <c r="H2323" i="3"/>
  <c r="H2322" i="3"/>
  <c r="H2321" i="3"/>
  <c r="H2320" i="3"/>
  <c r="H2319" i="3"/>
  <c r="H2318" i="3"/>
  <c r="H2317" i="3"/>
  <c r="H2316" i="3"/>
  <c r="H2315" i="3"/>
  <c r="H2314" i="3"/>
  <c r="H2313" i="3"/>
  <c r="H2312" i="3"/>
  <c r="H2311" i="3"/>
  <c r="H2310" i="3"/>
  <c r="H2309" i="3"/>
  <c r="H2308" i="3"/>
  <c r="H2307" i="3"/>
  <c r="H2306" i="3"/>
  <c r="H2305" i="3"/>
  <c r="H2304" i="3"/>
  <c r="H2303" i="3"/>
  <c r="H2302" i="3"/>
  <c r="H2301" i="3"/>
  <c r="H2300" i="3"/>
  <c r="H2299" i="3"/>
  <c r="H2298" i="3"/>
  <c r="H2297" i="3"/>
  <c r="H2296" i="3"/>
  <c r="H2295" i="3"/>
  <c r="H2294" i="3"/>
  <c r="H2293" i="3"/>
  <c r="H2292" i="3"/>
  <c r="H2291" i="3"/>
  <c r="H2290" i="3"/>
  <c r="H2289" i="3"/>
  <c r="H2288" i="3"/>
  <c r="H2287" i="3"/>
  <c r="H2286" i="3"/>
  <c r="H2285" i="3"/>
  <c r="H2284" i="3"/>
  <c r="H2283" i="3"/>
  <c r="H2282" i="3"/>
  <c r="H2281" i="3"/>
  <c r="H2280" i="3"/>
  <c r="H2279" i="3"/>
  <c r="H2278" i="3"/>
  <c r="H2277" i="3"/>
  <c r="H2276" i="3"/>
  <c r="H2275" i="3"/>
  <c r="H2274" i="3"/>
  <c r="H2273" i="3"/>
  <c r="H2272" i="3"/>
  <c r="H2271" i="3"/>
  <c r="H2270" i="3"/>
  <c r="H2269" i="3"/>
  <c r="H2268" i="3"/>
  <c r="H2267" i="3"/>
  <c r="H2266" i="3"/>
  <c r="H2265" i="3"/>
  <c r="H2264" i="3"/>
  <c r="H2263" i="3"/>
  <c r="H2262" i="3"/>
  <c r="H2261" i="3"/>
  <c r="H2260" i="3"/>
  <c r="H2259" i="3"/>
  <c r="H2258" i="3"/>
  <c r="H2257" i="3"/>
  <c r="H2256" i="3"/>
  <c r="H2255" i="3"/>
  <c r="H2254" i="3"/>
  <c r="H2253" i="3"/>
  <c r="H2252" i="3"/>
  <c r="H2251" i="3"/>
  <c r="H2250" i="3"/>
  <c r="H2249" i="3"/>
  <c r="H2248" i="3"/>
  <c r="H2247" i="3"/>
  <c r="H2246" i="3"/>
  <c r="H2245" i="3"/>
  <c r="H2244" i="3"/>
  <c r="H2243" i="3"/>
  <c r="H2242" i="3"/>
  <c r="H2241" i="3"/>
  <c r="H2240" i="3"/>
  <c r="H2239" i="3"/>
  <c r="H2238" i="3"/>
  <c r="H2237" i="3"/>
  <c r="H2236" i="3"/>
  <c r="H2235" i="3"/>
  <c r="H2234" i="3"/>
  <c r="H2233" i="3"/>
  <c r="H2232" i="3"/>
  <c r="H2231" i="3"/>
  <c r="H2230" i="3"/>
  <c r="H2229" i="3"/>
  <c r="H2228" i="3"/>
  <c r="H2227" i="3"/>
  <c r="H2226" i="3"/>
  <c r="H2225" i="3"/>
  <c r="H2224" i="3"/>
  <c r="H2223" i="3"/>
  <c r="H2222" i="3"/>
  <c r="H2221" i="3"/>
  <c r="H2220" i="3"/>
  <c r="H2219" i="3"/>
  <c r="H2218" i="3"/>
  <c r="H2217" i="3"/>
  <c r="H2216" i="3"/>
  <c r="H2215" i="3"/>
  <c r="H2214" i="3"/>
  <c r="H2213" i="3"/>
  <c r="H2212" i="3"/>
  <c r="H2211" i="3"/>
  <c r="H2210" i="3"/>
  <c r="H2209" i="3"/>
  <c r="H2208" i="3"/>
  <c r="H2207" i="3"/>
  <c r="H2206" i="3"/>
  <c r="H2205" i="3"/>
  <c r="H2204" i="3"/>
  <c r="H2203" i="3"/>
  <c r="H2202" i="3"/>
  <c r="H2201" i="3"/>
  <c r="H2200" i="3"/>
  <c r="H2199" i="3"/>
  <c r="H2198" i="3"/>
  <c r="H2197" i="3"/>
  <c r="H2196" i="3"/>
  <c r="H2195" i="3"/>
  <c r="H2194" i="3"/>
  <c r="H2193" i="3"/>
  <c r="H2192" i="3"/>
  <c r="H2191" i="3"/>
  <c r="H2190" i="3"/>
  <c r="H2189" i="3"/>
  <c r="H2188" i="3"/>
  <c r="H2187" i="3"/>
  <c r="H2186" i="3"/>
  <c r="H2185" i="3"/>
  <c r="H2184" i="3"/>
  <c r="H2183" i="3"/>
  <c r="H2182" i="3"/>
  <c r="H2181" i="3"/>
  <c r="H2180" i="3"/>
  <c r="H2179" i="3"/>
  <c r="H2178" i="3"/>
  <c r="H2177" i="3"/>
  <c r="H2176" i="3"/>
  <c r="H2175" i="3"/>
  <c r="H2174" i="3"/>
  <c r="H2173" i="3"/>
  <c r="H2172" i="3"/>
  <c r="H2171" i="3"/>
  <c r="H2170" i="3"/>
  <c r="H2169" i="3"/>
  <c r="H2168" i="3"/>
  <c r="H2167" i="3"/>
  <c r="H2166" i="3"/>
  <c r="H2165" i="3"/>
  <c r="H2164" i="3"/>
  <c r="H2163" i="3"/>
  <c r="H2162" i="3"/>
  <c r="H2161" i="3"/>
  <c r="H2160" i="3"/>
  <c r="H2159" i="3"/>
  <c r="H2158" i="3"/>
  <c r="H2157" i="3"/>
  <c r="H2156" i="3"/>
  <c r="H2155" i="3"/>
  <c r="H2154" i="3"/>
  <c r="H2153" i="3"/>
  <c r="H2152" i="3"/>
  <c r="H2151" i="3"/>
  <c r="H2150" i="3"/>
  <c r="H2149" i="3"/>
  <c r="H2148" i="3"/>
  <c r="H2147" i="3"/>
  <c r="H2146" i="3"/>
  <c r="H2145" i="3"/>
  <c r="H2144" i="3"/>
  <c r="H2143" i="3"/>
  <c r="H2142" i="3"/>
  <c r="H2141" i="3"/>
  <c r="H2140" i="3"/>
  <c r="H2139" i="3"/>
  <c r="H2138" i="3"/>
  <c r="H2137" i="3"/>
  <c r="H2136" i="3"/>
  <c r="H2135" i="3"/>
  <c r="H2134" i="3"/>
  <c r="H2133" i="3"/>
  <c r="H2132" i="3"/>
  <c r="H2131" i="3"/>
  <c r="H2130" i="3"/>
  <c r="H2129" i="3"/>
  <c r="H2128" i="3"/>
  <c r="H2127" i="3"/>
  <c r="H2126" i="3"/>
  <c r="H2125" i="3"/>
  <c r="H2124" i="3"/>
  <c r="H2123" i="3"/>
  <c r="H2122" i="3"/>
  <c r="H2121" i="3"/>
  <c r="H2120" i="3"/>
  <c r="H2119" i="3"/>
  <c r="H2118" i="3"/>
  <c r="H2117" i="3"/>
  <c r="H2116" i="3"/>
  <c r="H2115" i="3"/>
  <c r="H2114" i="3"/>
  <c r="H2113" i="3"/>
  <c r="H2112" i="3"/>
  <c r="H2111" i="3"/>
  <c r="H2110" i="3"/>
  <c r="H2109" i="3"/>
  <c r="H2108" i="3"/>
  <c r="H2107" i="3"/>
  <c r="H2106" i="3"/>
  <c r="H2105" i="3"/>
  <c r="H2104" i="3"/>
  <c r="H2103" i="3"/>
  <c r="H2102" i="3"/>
  <c r="H2101" i="3"/>
  <c r="H2100" i="3"/>
  <c r="H2099" i="3"/>
  <c r="H2098" i="3"/>
  <c r="H2097" i="3"/>
  <c r="H2096" i="3"/>
  <c r="H2095" i="3"/>
  <c r="H2094" i="3"/>
  <c r="H2093" i="3"/>
  <c r="H2092" i="3"/>
  <c r="H2091" i="3"/>
  <c r="H2090" i="3"/>
  <c r="H2089" i="3"/>
  <c r="H2088" i="3"/>
  <c r="H2087" i="3"/>
  <c r="H2086" i="3"/>
  <c r="H2085" i="3"/>
  <c r="H2084" i="3"/>
  <c r="H2083" i="3"/>
  <c r="H2082" i="3"/>
  <c r="H2081" i="3"/>
  <c r="H2080" i="3"/>
  <c r="H2079" i="3"/>
  <c r="H2078" i="3"/>
  <c r="H2077" i="3"/>
  <c r="H2076" i="3"/>
  <c r="H2075" i="3"/>
  <c r="H2074" i="3"/>
  <c r="H2073" i="3"/>
  <c r="H2072" i="3"/>
  <c r="H2071" i="3"/>
  <c r="H2070" i="3"/>
  <c r="H2069" i="3"/>
  <c r="H2068" i="3"/>
  <c r="H2067" i="3"/>
  <c r="H2066" i="3"/>
  <c r="H2065" i="3"/>
  <c r="H2064" i="3"/>
  <c r="H2063" i="3"/>
  <c r="H2062" i="3"/>
  <c r="H2061" i="3"/>
  <c r="H2060" i="3"/>
  <c r="H2059" i="3"/>
  <c r="H2058" i="3"/>
  <c r="H2057" i="3"/>
  <c r="H2056" i="3"/>
  <c r="H2055" i="3"/>
  <c r="H2054" i="3"/>
  <c r="H2053" i="3"/>
  <c r="H2052" i="3"/>
  <c r="H2051" i="3"/>
  <c r="H2050" i="3"/>
  <c r="H2049" i="3"/>
  <c r="H2048" i="3"/>
  <c r="H2047" i="3"/>
  <c r="H2046" i="3"/>
  <c r="H2045" i="3"/>
  <c r="H2044" i="3"/>
  <c r="H2043" i="3"/>
  <c r="H2042" i="3"/>
  <c r="H2041" i="3"/>
  <c r="H2040" i="3"/>
  <c r="H2039" i="3"/>
  <c r="H2038" i="3"/>
  <c r="H2037" i="3"/>
  <c r="H2036" i="3"/>
  <c r="H2035" i="3"/>
  <c r="H2034" i="3"/>
  <c r="H2033" i="3"/>
  <c r="H2032" i="3"/>
  <c r="H2031" i="3"/>
  <c r="H2030" i="3"/>
  <c r="H2029" i="3"/>
  <c r="H2028" i="3"/>
  <c r="H2027" i="3"/>
  <c r="H2026" i="3"/>
  <c r="H2025" i="3"/>
  <c r="H2024" i="3"/>
  <c r="H2023" i="3"/>
  <c r="H2022" i="3"/>
  <c r="H2021" i="3"/>
  <c r="H2020" i="3"/>
  <c r="H2019" i="3"/>
  <c r="H2018" i="3"/>
  <c r="H2017" i="3"/>
  <c r="H2016" i="3"/>
  <c r="H2015" i="3"/>
  <c r="H2014" i="3"/>
  <c r="H2013" i="3"/>
  <c r="H2012" i="3"/>
  <c r="H2011" i="3"/>
  <c r="H2010" i="3"/>
  <c r="H2009" i="3"/>
  <c r="H2008" i="3"/>
  <c r="H2007" i="3"/>
  <c r="H2006" i="3"/>
  <c r="H2005" i="3"/>
  <c r="H2004" i="3"/>
  <c r="H2003" i="3"/>
  <c r="H2002" i="3"/>
  <c r="H2001" i="3"/>
  <c r="H2000" i="3"/>
  <c r="H1999" i="3"/>
  <c r="H1998" i="3"/>
  <c r="H1997" i="3"/>
  <c r="H1996" i="3"/>
  <c r="H1995" i="3"/>
  <c r="H1994" i="3"/>
  <c r="H1993" i="3"/>
  <c r="H1992" i="3"/>
  <c r="H1991" i="3"/>
  <c r="H1990" i="3"/>
  <c r="H1989" i="3"/>
  <c r="H1988" i="3"/>
  <c r="H1987" i="3"/>
  <c r="H1986" i="3"/>
  <c r="H1985" i="3"/>
  <c r="H1984" i="3"/>
  <c r="H1983" i="3"/>
  <c r="H1982" i="3"/>
  <c r="H1981" i="3"/>
  <c r="H1980" i="3"/>
  <c r="H1979" i="3"/>
  <c r="H1978" i="3"/>
  <c r="H1977" i="3"/>
  <c r="H1976" i="3"/>
  <c r="H1975" i="3"/>
  <c r="H1974" i="3"/>
  <c r="H1973" i="3"/>
  <c r="H1972" i="3"/>
  <c r="H1971" i="3"/>
  <c r="H1970" i="3"/>
  <c r="H1969" i="3"/>
  <c r="H1968" i="3"/>
  <c r="H1967" i="3"/>
  <c r="H1966" i="3"/>
  <c r="H1965" i="3"/>
  <c r="H1964" i="3"/>
  <c r="H1963" i="3"/>
  <c r="H1962" i="3"/>
  <c r="H1961" i="3"/>
  <c r="H1960" i="3"/>
  <c r="H1959" i="3"/>
  <c r="H1958" i="3"/>
  <c r="H1957" i="3"/>
  <c r="H1956" i="3"/>
  <c r="H1955" i="3"/>
  <c r="H1954" i="3"/>
  <c r="H1953" i="3"/>
  <c r="H1952" i="3"/>
  <c r="H1951" i="3"/>
  <c r="H1950" i="3"/>
  <c r="H1949" i="3"/>
  <c r="H1948" i="3"/>
  <c r="H1947" i="3"/>
  <c r="H1946" i="3"/>
  <c r="H1945" i="3"/>
  <c r="H1944" i="3"/>
  <c r="H1943" i="3"/>
  <c r="H1942" i="3"/>
  <c r="H1941" i="3"/>
  <c r="H1940" i="3"/>
  <c r="H1939" i="3"/>
  <c r="H1938" i="3"/>
  <c r="H1937" i="3"/>
  <c r="H1936" i="3"/>
  <c r="H1935" i="3"/>
  <c r="H1934" i="3"/>
  <c r="H1933" i="3"/>
  <c r="H1932" i="3"/>
  <c r="H1931" i="3"/>
  <c r="H1930" i="3"/>
  <c r="H1929" i="3"/>
  <c r="H1928" i="3"/>
  <c r="H1927" i="3"/>
  <c r="H1926" i="3"/>
  <c r="H1925" i="3"/>
  <c r="H1924" i="3"/>
  <c r="H1923" i="3"/>
  <c r="H1922" i="3"/>
  <c r="H1921" i="3"/>
  <c r="H1920" i="3"/>
  <c r="H1919" i="3"/>
  <c r="H1918" i="3"/>
  <c r="H1917" i="3"/>
  <c r="H1916" i="3"/>
  <c r="H1915" i="3"/>
  <c r="H1914" i="3"/>
  <c r="H1913" i="3"/>
  <c r="H1912" i="3"/>
  <c r="H1911" i="3"/>
  <c r="H1910" i="3"/>
  <c r="H1909" i="3"/>
  <c r="H1908" i="3"/>
  <c r="H1907" i="3"/>
  <c r="H1906" i="3"/>
  <c r="H1905" i="3"/>
  <c r="H1904" i="3"/>
  <c r="H1903" i="3"/>
  <c r="H1902" i="3"/>
  <c r="H1901" i="3"/>
  <c r="H1900" i="3"/>
  <c r="H1899" i="3"/>
  <c r="H1898" i="3"/>
  <c r="H1897" i="3"/>
  <c r="H1896" i="3"/>
  <c r="H1895" i="3"/>
  <c r="H1894" i="3"/>
  <c r="H1893" i="3"/>
  <c r="H1892" i="3"/>
  <c r="H1891" i="3"/>
  <c r="H1890" i="3"/>
  <c r="H1889" i="3"/>
  <c r="H1888" i="3"/>
  <c r="H1887" i="3"/>
  <c r="H1886" i="3"/>
  <c r="H1885" i="3"/>
  <c r="H1884" i="3"/>
  <c r="H1883" i="3"/>
  <c r="H1882" i="3"/>
  <c r="H1881" i="3"/>
  <c r="H1880" i="3"/>
  <c r="H1879" i="3"/>
  <c r="H1878" i="3"/>
  <c r="H1877" i="3"/>
  <c r="H1876" i="3"/>
  <c r="H1875" i="3"/>
  <c r="H1874" i="3"/>
  <c r="H1873" i="3"/>
  <c r="H1872" i="3"/>
  <c r="H1871" i="3"/>
  <c r="H1870" i="3"/>
  <c r="H1869" i="3"/>
  <c r="H1868" i="3"/>
  <c r="H1867" i="3"/>
  <c r="H1866" i="3"/>
  <c r="H1865" i="3"/>
  <c r="H1864" i="3"/>
  <c r="H1863" i="3"/>
  <c r="H1862" i="3"/>
  <c r="H1861" i="3"/>
  <c r="H1860" i="3"/>
  <c r="H1859" i="3"/>
  <c r="H1858" i="3"/>
  <c r="H1857" i="3"/>
  <c r="H1856" i="3"/>
  <c r="H1855" i="3"/>
  <c r="H1854" i="3"/>
  <c r="H1853" i="3"/>
  <c r="H1852" i="3"/>
  <c r="H1851" i="3"/>
  <c r="H1850" i="3"/>
  <c r="H1849" i="3"/>
  <c r="H1848" i="3"/>
  <c r="H1847" i="3"/>
  <c r="H1846" i="3"/>
  <c r="H1845" i="3"/>
  <c r="H1844" i="3"/>
  <c r="H1843" i="3"/>
  <c r="H1842" i="3"/>
  <c r="H1841" i="3"/>
  <c r="H1840" i="3"/>
  <c r="H1839" i="3"/>
  <c r="H1838" i="3"/>
  <c r="H1837" i="3"/>
  <c r="H1836" i="3"/>
  <c r="H1835" i="3"/>
  <c r="H1834" i="3"/>
  <c r="H1833" i="3"/>
  <c r="H1832" i="3"/>
  <c r="H1831" i="3"/>
  <c r="H1830" i="3"/>
  <c r="H1829" i="3"/>
  <c r="H1828" i="3"/>
  <c r="H1827" i="3"/>
  <c r="H1826" i="3"/>
  <c r="H1825" i="3"/>
  <c r="H1824" i="3"/>
  <c r="H1823" i="3"/>
  <c r="H1822" i="3"/>
  <c r="H1821" i="3"/>
  <c r="H1820" i="3"/>
  <c r="H1819" i="3"/>
  <c r="H1818" i="3"/>
  <c r="H1817" i="3"/>
  <c r="H1816" i="3"/>
  <c r="H1815" i="3"/>
  <c r="H1814" i="3"/>
  <c r="H1813" i="3"/>
  <c r="H1812" i="3"/>
  <c r="H1811" i="3"/>
  <c r="H1810" i="3"/>
  <c r="H1809" i="3"/>
  <c r="H1808" i="3"/>
  <c r="H1807" i="3"/>
  <c r="H1806" i="3"/>
  <c r="H1805" i="3"/>
  <c r="H1804" i="3"/>
  <c r="H1803" i="3"/>
  <c r="H1802" i="3"/>
  <c r="H1801" i="3"/>
  <c r="H1800" i="3"/>
  <c r="H1799" i="3"/>
  <c r="H1798" i="3"/>
  <c r="H1797" i="3"/>
  <c r="H1796" i="3"/>
  <c r="H1795" i="3"/>
  <c r="H1794" i="3"/>
  <c r="H1793" i="3"/>
  <c r="H1792" i="3"/>
  <c r="H1791" i="3"/>
  <c r="H1790" i="3"/>
  <c r="H1789" i="3"/>
  <c r="H1788" i="3"/>
  <c r="H1787" i="3"/>
  <c r="H1786" i="3"/>
  <c r="H1785" i="3"/>
  <c r="H1784" i="3"/>
  <c r="H1783" i="3"/>
  <c r="H1782" i="3"/>
  <c r="H1781" i="3"/>
  <c r="H1780" i="3"/>
  <c r="H1779" i="3"/>
  <c r="H1778" i="3"/>
  <c r="H1777" i="3"/>
  <c r="H1776" i="3"/>
  <c r="H1775" i="3"/>
  <c r="H1774" i="3"/>
  <c r="H1773" i="3"/>
  <c r="H1772" i="3"/>
  <c r="H1771" i="3"/>
  <c r="H1770" i="3"/>
  <c r="H1769" i="3"/>
  <c r="H1768" i="3"/>
  <c r="H1767" i="3"/>
  <c r="H1766" i="3"/>
  <c r="H1765" i="3"/>
  <c r="H1764" i="3"/>
  <c r="H1763" i="3"/>
  <c r="H1762" i="3"/>
  <c r="H1761" i="3"/>
  <c r="H1760" i="3"/>
  <c r="H1759" i="3"/>
  <c r="H1758" i="3"/>
  <c r="H1757" i="3"/>
  <c r="H1756" i="3"/>
  <c r="H1755" i="3"/>
  <c r="H1754" i="3"/>
  <c r="H1753" i="3"/>
  <c r="H1752" i="3"/>
  <c r="H1751" i="3"/>
  <c r="H1750" i="3"/>
  <c r="H1749" i="3"/>
  <c r="H1748" i="3"/>
  <c r="H1747" i="3"/>
  <c r="H1746" i="3"/>
  <c r="H1745" i="3"/>
  <c r="H1744" i="3"/>
  <c r="H1743" i="3"/>
  <c r="H1742" i="3"/>
  <c r="H1741" i="3"/>
  <c r="H1740" i="3"/>
  <c r="H1739" i="3"/>
  <c r="H1738" i="3"/>
  <c r="H1737" i="3"/>
  <c r="H1736" i="3"/>
  <c r="H1735" i="3"/>
  <c r="H1734" i="3"/>
  <c r="H1733" i="3"/>
  <c r="H1732" i="3"/>
  <c r="H1731" i="3"/>
  <c r="H1730" i="3"/>
  <c r="H1729" i="3"/>
  <c r="H1728" i="3"/>
  <c r="H1727" i="3"/>
  <c r="H1726" i="3"/>
  <c r="H1725" i="3"/>
  <c r="H1724" i="3"/>
  <c r="H1723" i="3"/>
  <c r="H1722" i="3"/>
  <c r="H1721" i="3"/>
  <c r="H1720" i="3"/>
  <c r="H1719" i="3"/>
  <c r="H1718" i="3"/>
  <c r="H1717" i="3"/>
  <c r="H1716" i="3"/>
  <c r="H1715" i="3"/>
  <c r="H1714" i="3"/>
  <c r="H1713" i="3"/>
  <c r="H1712" i="3"/>
  <c r="H1711" i="3"/>
  <c r="H1710" i="3"/>
  <c r="H1709" i="3"/>
  <c r="H1708" i="3"/>
  <c r="H1707" i="3"/>
  <c r="H1706" i="3"/>
  <c r="H1705" i="3"/>
  <c r="H1704" i="3"/>
  <c r="H1703" i="3"/>
  <c r="H1702" i="3"/>
  <c r="H1701" i="3"/>
  <c r="H1700" i="3"/>
  <c r="H1699" i="3"/>
  <c r="H1698" i="3"/>
  <c r="H1697" i="3"/>
  <c r="H1696" i="3"/>
  <c r="H1695" i="3"/>
  <c r="H1694" i="3"/>
  <c r="H1693" i="3"/>
  <c r="H1692" i="3"/>
  <c r="H1691" i="3"/>
  <c r="H1690" i="3"/>
  <c r="H1689" i="3"/>
  <c r="H1688" i="3"/>
  <c r="H1687" i="3"/>
  <c r="H1686" i="3"/>
  <c r="H1685" i="3"/>
  <c r="H1684" i="3"/>
  <c r="H1683" i="3"/>
  <c r="H1682" i="3"/>
  <c r="H1681" i="3"/>
  <c r="H1680" i="3"/>
  <c r="H1679" i="3"/>
  <c r="H1678" i="3"/>
  <c r="H1677" i="3"/>
  <c r="H1676" i="3"/>
  <c r="H1675" i="3"/>
  <c r="H1674" i="3"/>
  <c r="H1673" i="3"/>
  <c r="H1672" i="3"/>
  <c r="H1671" i="3"/>
  <c r="H1670" i="3"/>
  <c r="H1669" i="3"/>
  <c r="H1668" i="3"/>
  <c r="H1667" i="3"/>
  <c r="H1666" i="3"/>
  <c r="H1665" i="3"/>
  <c r="H1664" i="3"/>
  <c r="H1663" i="3"/>
  <c r="H1662" i="3"/>
  <c r="H1661" i="3"/>
  <c r="H1660" i="3"/>
  <c r="H1659" i="3"/>
  <c r="H1658" i="3"/>
  <c r="H1657" i="3"/>
  <c r="H1656" i="3"/>
  <c r="H1655" i="3"/>
  <c r="H1654" i="3"/>
  <c r="H1653" i="3"/>
  <c r="H1652" i="3"/>
  <c r="H1651" i="3"/>
  <c r="H1650" i="3"/>
  <c r="H1649" i="3"/>
  <c r="H1648" i="3"/>
  <c r="H1647" i="3"/>
  <c r="H1646" i="3"/>
  <c r="H1645" i="3"/>
  <c r="H1644" i="3"/>
  <c r="H1643" i="3"/>
  <c r="H1642" i="3"/>
  <c r="H1641" i="3"/>
  <c r="H1640" i="3"/>
  <c r="H1639" i="3"/>
  <c r="H1638" i="3"/>
  <c r="H1637" i="3"/>
  <c r="H1636" i="3"/>
  <c r="H1635" i="3"/>
  <c r="H1634" i="3"/>
  <c r="H1633" i="3"/>
  <c r="H1632" i="3"/>
  <c r="H1631" i="3"/>
  <c r="H1630" i="3"/>
  <c r="H1629" i="3"/>
  <c r="H1628" i="3"/>
  <c r="H1627" i="3"/>
  <c r="H1626" i="3"/>
  <c r="H1625" i="3"/>
  <c r="H1624" i="3"/>
  <c r="H1623" i="3"/>
  <c r="H1622" i="3"/>
  <c r="H1621" i="3"/>
  <c r="H1620" i="3"/>
  <c r="H1619" i="3"/>
  <c r="H1618" i="3"/>
  <c r="H1617" i="3"/>
  <c r="H1616" i="3"/>
  <c r="H1615" i="3"/>
  <c r="H1614" i="3"/>
  <c r="H1613" i="3"/>
  <c r="H1612" i="3"/>
  <c r="H1611" i="3"/>
  <c r="H1610" i="3"/>
  <c r="H1609" i="3"/>
  <c r="H1608" i="3"/>
  <c r="H1607" i="3"/>
  <c r="H1606" i="3"/>
  <c r="H1605" i="3"/>
  <c r="H1604" i="3"/>
  <c r="H1603" i="3"/>
  <c r="H1602" i="3"/>
  <c r="H1601" i="3"/>
  <c r="H1600" i="3"/>
  <c r="H1599" i="3"/>
  <c r="H1598" i="3"/>
  <c r="H1597" i="3"/>
  <c r="H1596" i="3"/>
  <c r="H1595" i="3"/>
  <c r="H1594" i="3"/>
  <c r="H1593" i="3"/>
  <c r="H1592" i="3"/>
  <c r="H1591" i="3"/>
  <c r="H1590" i="3"/>
  <c r="H1589" i="3"/>
  <c r="H1588" i="3"/>
  <c r="H1587" i="3"/>
  <c r="H1586" i="3"/>
  <c r="H1585" i="3"/>
  <c r="H1584" i="3"/>
  <c r="H1583" i="3"/>
  <c r="H1582" i="3"/>
  <c r="H1581" i="3"/>
  <c r="H1580" i="3"/>
  <c r="H1579" i="3"/>
  <c r="H1578" i="3"/>
  <c r="H1577" i="3"/>
  <c r="H1576" i="3"/>
  <c r="H1575" i="3"/>
  <c r="H1574" i="3"/>
  <c r="H1573" i="3"/>
  <c r="H1572" i="3"/>
  <c r="H1571" i="3"/>
  <c r="H1570" i="3"/>
  <c r="H1569" i="3"/>
  <c r="H1568" i="3"/>
  <c r="H1567" i="3"/>
  <c r="H1566" i="3"/>
  <c r="H1565" i="3"/>
  <c r="H1564" i="3"/>
  <c r="H1563" i="3"/>
  <c r="H1562" i="3"/>
  <c r="H1561" i="3"/>
  <c r="H1560" i="3"/>
  <c r="H1559" i="3"/>
  <c r="H1558" i="3"/>
  <c r="H1557" i="3"/>
  <c r="H1556" i="3"/>
  <c r="H1555" i="3"/>
  <c r="H1554" i="3"/>
  <c r="H1553" i="3"/>
  <c r="H1552" i="3"/>
  <c r="H1551" i="3"/>
  <c r="H1550" i="3"/>
  <c r="H1549" i="3"/>
  <c r="H1548" i="3"/>
  <c r="H1547" i="3"/>
  <c r="H1546" i="3"/>
  <c r="H1545" i="3"/>
  <c r="H1544" i="3"/>
  <c r="H1543" i="3"/>
  <c r="H1542" i="3"/>
  <c r="H1541" i="3"/>
  <c r="H1540" i="3"/>
  <c r="H1539" i="3"/>
  <c r="H1538" i="3"/>
  <c r="H1537" i="3"/>
  <c r="H1536" i="3"/>
  <c r="H1535" i="3"/>
  <c r="H1534" i="3"/>
  <c r="H1533" i="3"/>
  <c r="H1532" i="3"/>
  <c r="H1531" i="3"/>
  <c r="H1530" i="3"/>
  <c r="H1529" i="3"/>
  <c r="H1528" i="3"/>
  <c r="H1527" i="3"/>
  <c r="H1526" i="3"/>
  <c r="H1525" i="3"/>
  <c r="H1524" i="3"/>
  <c r="H1523" i="3"/>
  <c r="H1522" i="3"/>
  <c r="H1521" i="3"/>
  <c r="H1520" i="3"/>
  <c r="H1519" i="3"/>
  <c r="H1518" i="3"/>
  <c r="H1517" i="3"/>
  <c r="H1516" i="3"/>
  <c r="H1515" i="3"/>
  <c r="H1514" i="3"/>
  <c r="H1513" i="3"/>
  <c r="H1512" i="3"/>
  <c r="H1511" i="3"/>
  <c r="H1510" i="3"/>
  <c r="H1509" i="3"/>
  <c r="H1508" i="3"/>
  <c r="H1507" i="3"/>
  <c r="H1506" i="3"/>
  <c r="H1505" i="3"/>
  <c r="H1504" i="3"/>
  <c r="H1503" i="3"/>
  <c r="H1502" i="3"/>
  <c r="H1501" i="3"/>
  <c r="H1500" i="3"/>
  <c r="H1499" i="3"/>
  <c r="H1498" i="3"/>
  <c r="H1497" i="3"/>
  <c r="H1496" i="3"/>
  <c r="H1495" i="3"/>
  <c r="H1494" i="3"/>
  <c r="H1493" i="3"/>
  <c r="H1492" i="3"/>
  <c r="H1491" i="3"/>
  <c r="H1490" i="3"/>
  <c r="H1489" i="3"/>
  <c r="H1488" i="3"/>
  <c r="H1487" i="3"/>
  <c r="H1486" i="3"/>
  <c r="H1485" i="3"/>
  <c r="H1484" i="3"/>
  <c r="H1483" i="3"/>
  <c r="H1482" i="3"/>
  <c r="H1481" i="3"/>
  <c r="H1480" i="3"/>
  <c r="H1479" i="3"/>
  <c r="H1478" i="3"/>
  <c r="H1477" i="3"/>
  <c r="H1476" i="3"/>
  <c r="H1475" i="3"/>
  <c r="H1474" i="3"/>
  <c r="H1473" i="3"/>
  <c r="H1472" i="3"/>
  <c r="H1471" i="3"/>
  <c r="H1470" i="3"/>
  <c r="H1469" i="3"/>
  <c r="H1468" i="3"/>
  <c r="H1467" i="3"/>
  <c r="H1466" i="3"/>
  <c r="H1465" i="3"/>
  <c r="H1464" i="3"/>
  <c r="H1463" i="3"/>
  <c r="H1462" i="3"/>
  <c r="H1461" i="3"/>
  <c r="H1460" i="3"/>
  <c r="H1459" i="3"/>
  <c r="H1458" i="3"/>
  <c r="H1457" i="3"/>
  <c r="H1456" i="3"/>
  <c r="H1455" i="3"/>
  <c r="H1454" i="3"/>
  <c r="H1453" i="3"/>
  <c r="H1452" i="3"/>
  <c r="H1451" i="3"/>
  <c r="H1450" i="3"/>
  <c r="H1449" i="3"/>
  <c r="H1448" i="3"/>
  <c r="H1447" i="3"/>
  <c r="H1446" i="3"/>
  <c r="H1445" i="3"/>
  <c r="H1444" i="3"/>
  <c r="H1443" i="3"/>
  <c r="H1442" i="3"/>
  <c r="H1441" i="3"/>
  <c r="H1440" i="3"/>
  <c r="H1439" i="3"/>
  <c r="H1438" i="3"/>
  <c r="H1437" i="3"/>
  <c r="H1436" i="3"/>
  <c r="H1435" i="3"/>
  <c r="H1434" i="3"/>
  <c r="H1433" i="3"/>
  <c r="H1432" i="3"/>
  <c r="H1431" i="3"/>
  <c r="H1430" i="3"/>
  <c r="H1429" i="3"/>
  <c r="H1428" i="3"/>
  <c r="H1427" i="3"/>
  <c r="H1426" i="3"/>
  <c r="H1425" i="3"/>
  <c r="H1424" i="3"/>
  <c r="H1423" i="3"/>
  <c r="H1422" i="3"/>
  <c r="H1421" i="3"/>
  <c r="H1420" i="3"/>
  <c r="H1419" i="3"/>
  <c r="H1418" i="3"/>
  <c r="H1417" i="3"/>
  <c r="H1416" i="3"/>
  <c r="H1415" i="3"/>
  <c r="H1414" i="3"/>
  <c r="H1413" i="3"/>
  <c r="H1412" i="3"/>
  <c r="H1411" i="3"/>
  <c r="H1410" i="3"/>
  <c r="H1409" i="3"/>
  <c r="H1408" i="3"/>
  <c r="H1407" i="3"/>
  <c r="H1406" i="3"/>
  <c r="H1405" i="3"/>
  <c r="H1404" i="3"/>
  <c r="H1403" i="3"/>
  <c r="H1402" i="3"/>
  <c r="H1401" i="3"/>
  <c r="H1400" i="3"/>
  <c r="H1399" i="3"/>
  <c r="H1398" i="3"/>
  <c r="H1397" i="3"/>
  <c r="H1396" i="3"/>
  <c r="H1395" i="3"/>
  <c r="H1394" i="3"/>
  <c r="H1393" i="3"/>
  <c r="H1392" i="3"/>
  <c r="H1391" i="3"/>
  <c r="H1390" i="3"/>
  <c r="H1389" i="3"/>
  <c r="H1388" i="3"/>
  <c r="H1387" i="3"/>
  <c r="H1386" i="3"/>
  <c r="H1385" i="3"/>
  <c r="H1384" i="3"/>
  <c r="H1383" i="3"/>
  <c r="H1382" i="3"/>
  <c r="H1381" i="3"/>
  <c r="H1380" i="3"/>
  <c r="H1379" i="3"/>
  <c r="H1378" i="3"/>
  <c r="H1377" i="3"/>
  <c r="H1376" i="3"/>
  <c r="H1375" i="3"/>
  <c r="H1374" i="3"/>
  <c r="H1373" i="3"/>
  <c r="H1372" i="3"/>
  <c r="H1371" i="3"/>
  <c r="H1370" i="3"/>
  <c r="H1369" i="3"/>
  <c r="H1368" i="3"/>
  <c r="H1367" i="3"/>
  <c r="H1366" i="3"/>
  <c r="H1365" i="3"/>
  <c r="H1364" i="3"/>
  <c r="H1363" i="3"/>
  <c r="H1362" i="3"/>
  <c r="H1361" i="3"/>
  <c r="H1360" i="3"/>
  <c r="H1359" i="3"/>
  <c r="H1358" i="3"/>
  <c r="H1357" i="3"/>
  <c r="H1356" i="3"/>
  <c r="H1355" i="3"/>
  <c r="H1354" i="3"/>
  <c r="H1353" i="3"/>
  <c r="H1352" i="3"/>
  <c r="H1351" i="3"/>
  <c r="H1350" i="3"/>
  <c r="H1349" i="3"/>
  <c r="H1348" i="3"/>
  <c r="H1347" i="3"/>
  <c r="H1346" i="3"/>
  <c r="H1345" i="3"/>
  <c r="H1344" i="3"/>
  <c r="H1343" i="3"/>
  <c r="H1342" i="3"/>
  <c r="H1341" i="3"/>
  <c r="H1340" i="3"/>
  <c r="H1339" i="3"/>
  <c r="H1338" i="3"/>
  <c r="H1337" i="3"/>
  <c r="H1336" i="3"/>
  <c r="H1335" i="3"/>
  <c r="H1334" i="3"/>
  <c r="H1333" i="3"/>
  <c r="H1332" i="3"/>
  <c r="H1331" i="3"/>
  <c r="H1330" i="3"/>
  <c r="H1329" i="3"/>
  <c r="H1328" i="3"/>
  <c r="H1327" i="3"/>
  <c r="H1326" i="3"/>
  <c r="H1325" i="3"/>
  <c r="H1324" i="3"/>
  <c r="H1323" i="3"/>
  <c r="H1322" i="3"/>
  <c r="H1321" i="3"/>
  <c r="H1320" i="3"/>
  <c r="H1319" i="3"/>
  <c r="H1318" i="3"/>
  <c r="H1317" i="3"/>
  <c r="H1316" i="3"/>
  <c r="H1315" i="3"/>
  <c r="H1314" i="3"/>
  <c r="H1313" i="3"/>
  <c r="H1312" i="3"/>
  <c r="H1311" i="3"/>
  <c r="H1310" i="3"/>
  <c r="H1309" i="3"/>
  <c r="H1308" i="3"/>
  <c r="H1307" i="3"/>
  <c r="H1306" i="3"/>
  <c r="H1305" i="3"/>
  <c r="H1304" i="3"/>
  <c r="H1303" i="3"/>
  <c r="H1302" i="3"/>
  <c r="H1301" i="3"/>
  <c r="H1300" i="3"/>
  <c r="H1299" i="3"/>
  <c r="H1298" i="3"/>
  <c r="H1297" i="3"/>
  <c r="H1296" i="3"/>
  <c r="H1295" i="3"/>
  <c r="H1294" i="3"/>
  <c r="H1293" i="3"/>
  <c r="H1292" i="3"/>
  <c r="H1291" i="3"/>
  <c r="H1290" i="3"/>
  <c r="H1289" i="3"/>
  <c r="H1288" i="3"/>
  <c r="H1287" i="3"/>
  <c r="H1286" i="3"/>
  <c r="H1285" i="3"/>
  <c r="H1284" i="3"/>
  <c r="H1283" i="3"/>
  <c r="H1282" i="3"/>
  <c r="H1281" i="3"/>
  <c r="H1280" i="3"/>
  <c r="H1279" i="3"/>
  <c r="H1278" i="3"/>
  <c r="H1277" i="3"/>
  <c r="H1276" i="3"/>
  <c r="H1275" i="3"/>
  <c r="H1274" i="3"/>
  <c r="H1273" i="3"/>
  <c r="H1272" i="3"/>
  <c r="H1271" i="3"/>
  <c r="H1270" i="3"/>
  <c r="H1269" i="3"/>
  <c r="H1268" i="3"/>
  <c r="H1267" i="3"/>
  <c r="H1266" i="3"/>
  <c r="H1265" i="3"/>
  <c r="H1264" i="3"/>
  <c r="H1263" i="3"/>
  <c r="H1262" i="3"/>
  <c r="H1261" i="3"/>
  <c r="H1260" i="3"/>
  <c r="H1259" i="3"/>
  <c r="H1258" i="3"/>
  <c r="H1257" i="3"/>
  <c r="H1256" i="3"/>
  <c r="H1255" i="3"/>
  <c r="H1254" i="3"/>
  <c r="H1253" i="3"/>
  <c r="H1252" i="3"/>
  <c r="H1251" i="3"/>
  <c r="H1250" i="3"/>
  <c r="H1249" i="3"/>
  <c r="H1248" i="3"/>
  <c r="H1247" i="3"/>
  <c r="H1246" i="3"/>
  <c r="H1245" i="3"/>
  <c r="H1244" i="3"/>
  <c r="H1243" i="3"/>
  <c r="H1242" i="3"/>
  <c r="H1241" i="3"/>
  <c r="H1240" i="3"/>
  <c r="H1239" i="3"/>
  <c r="H1238" i="3"/>
  <c r="H1237" i="3"/>
  <c r="H1236" i="3"/>
  <c r="H1235" i="3"/>
  <c r="H1234" i="3"/>
  <c r="H1233" i="3"/>
  <c r="H1232" i="3"/>
  <c r="H1231" i="3"/>
  <c r="H1230" i="3"/>
  <c r="H1229" i="3"/>
  <c r="H1228" i="3"/>
  <c r="H1227" i="3"/>
  <c r="H1226" i="3"/>
  <c r="H1225" i="3"/>
  <c r="H1224" i="3"/>
  <c r="H1223" i="3"/>
  <c r="H1222" i="3"/>
  <c r="H1221" i="3"/>
  <c r="H1220" i="3"/>
  <c r="H1219" i="3"/>
  <c r="H1218" i="3"/>
  <c r="H1217" i="3"/>
  <c r="H1216" i="3"/>
  <c r="H1215" i="3"/>
  <c r="H1214" i="3"/>
  <c r="H1213" i="3"/>
  <c r="H1212" i="3"/>
  <c r="H1211" i="3"/>
  <c r="H1210" i="3"/>
  <c r="H1209" i="3"/>
  <c r="H1208" i="3"/>
  <c r="H1207" i="3"/>
  <c r="H1206" i="3"/>
  <c r="H1205" i="3"/>
  <c r="H1204" i="3"/>
  <c r="H1203" i="3"/>
  <c r="H1202" i="3"/>
  <c r="H1201" i="3"/>
  <c r="H1200" i="3"/>
  <c r="H1199" i="3"/>
  <c r="H1198" i="3"/>
  <c r="H1197" i="3"/>
  <c r="H1196" i="3"/>
  <c r="H1195" i="3"/>
  <c r="H1194" i="3"/>
  <c r="H1193" i="3"/>
  <c r="H1192" i="3"/>
  <c r="H1191" i="3"/>
  <c r="H1190" i="3"/>
  <c r="H1189" i="3"/>
  <c r="H1188" i="3"/>
  <c r="H1187" i="3"/>
  <c r="H1186" i="3"/>
  <c r="H1185" i="3"/>
  <c r="H1184" i="3"/>
  <c r="H1183" i="3"/>
  <c r="H1182" i="3"/>
  <c r="H1181" i="3"/>
  <c r="H1180" i="3"/>
  <c r="H1179" i="3"/>
  <c r="H1178" i="3"/>
  <c r="H1177" i="3"/>
  <c r="H1176" i="3"/>
  <c r="H1175" i="3"/>
  <c r="H1174" i="3"/>
  <c r="H1173" i="3"/>
  <c r="H1172" i="3"/>
  <c r="H1171" i="3"/>
  <c r="H1170" i="3"/>
  <c r="H1169" i="3"/>
  <c r="H1168" i="3"/>
  <c r="H1167" i="3"/>
  <c r="H1166" i="3"/>
  <c r="H1165" i="3"/>
  <c r="H1164" i="3"/>
  <c r="H1163" i="3"/>
  <c r="H1162" i="3"/>
  <c r="H1161" i="3"/>
  <c r="H1160" i="3"/>
  <c r="H1159" i="3"/>
  <c r="H1158" i="3"/>
  <c r="H1157" i="3"/>
  <c r="H1156" i="3"/>
  <c r="H1155" i="3"/>
  <c r="H1154" i="3"/>
  <c r="H1153" i="3"/>
  <c r="H1152" i="3"/>
  <c r="H1151" i="3"/>
  <c r="H1150" i="3"/>
  <c r="H1149" i="3"/>
  <c r="H1148" i="3"/>
  <c r="H1147" i="3"/>
  <c r="H1146" i="3"/>
  <c r="H1145" i="3"/>
  <c r="H1144" i="3"/>
  <c r="H1143" i="3"/>
  <c r="H1142" i="3"/>
  <c r="H1141" i="3"/>
  <c r="H1140" i="3"/>
  <c r="H1139" i="3"/>
  <c r="H1138" i="3"/>
  <c r="H1137" i="3"/>
  <c r="H1136" i="3"/>
  <c r="H1135" i="3"/>
  <c r="H1134" i="3"/>
  <c r="H1133" i="3"/>
  <c r="H1132" i="3"/>
  <c r="H1131" i="3"/>
  <c r="H1130" i="3"/>
  <c r="H1129" i="3"/>
  <c r="H1128" i="3"/>
  <c r="H1127" i="3"/>
  <c r="H1126" i="3"/>
  <c r="H1125" i="3"/>
  <c r="H1124" i="3"/>
  <c r="H1123" i="3"/>
  <c r="H1122" i="3"/>
  <c r="H1121" i="3"/>
  <c r="H1120" i="3"/>
  <c r="H1119" i="3"/>
  <c r="H1118" i="3"/>
  <c r="H1117" i="3"/>
  <c r="H1116" i="3"/>
  <c r="H1115" i="3"/>
  <c r="H1114" i="3"/>
  <c r="H1113" i="3"/>
  <c r="H1112" i="3"/>
  <c r="H1111" i="3"/>
  <c r="H1110" i="3"/>
  <c r="H1109" i="3"/>
  <c r="H1108" i="3"/>
  <c r="H1107" i="3"/>
  <c r="H1106" i="3"/>
  <c r="H1105" i="3"/>
  <c r="H1104" i="3"/>
  <c r="H1103" i="3"/>
  <c r="H1102" i="3"/>
  <c r="H1101" i="3"/>
  <c r="H1100" i="3"/>
  <c r="H1099" i="3"/>
  <c r="H1098" i="3"/>
  <c r="H1097" i="3"/>
  <c r="H1096" i="3"/>
  <c r="H1095" i="3"/>
  <c r="H1094" i="3"/>
  <c r="H1093" i="3"/>
  <c r="H1092" i="3"/>
  <c r="H1091" i="3"/>
  <c r="H1090" i="3"/>
  <c r="H1089" i="3"/>
  <c r="H1088" i="3"/>
  <c r="H1087" i="3"/>
  <c r="H1086" i="3"/>
  <c r="H1085" i="3"/>
  <c r="H1084" i="3"/>
  <c r="H1083" i="3"/>
  <c r="H1082" i="3"/>
  <c r="H1081" i="3"/>
  <c r="H1080" i="3"/>
  <c r="H1079" i="3"/>
  <c r="H1078" i="3"/>
  <c r="H1077" i="3"/>
  <c r="H1076" i="3"/>
  <c r="H1075" i="3"/>
  <c r="H1074" i="3"/>
  <c r="H1073" i="3"/>
  <c r="H1072" i="3"/>
  <c r="H1071" i="3"/>
  <c r="H1070" i="3"/>
  <c r="H1069" i="3"/>
  <c r="H1068" i="3"/>
  <c r="H1067" i="3"/>
  <c r="H1066" i="3"/>
  <c r="H1065" i="3"/>
  <c r="H1064" i="3"/>
  <c r="H1063" i="3"/>
  <c r="H1062" i="3"/>
  <c r="H1061" i="3"/>
  <c r="H1060" i="3"/>
  <c r="H1059" i="3"/>
  <c r="H1058" i="3"/>
  <c r="H1057" i="3"/>
  <c r="H1056" i="3"/>
  <c r="H1055" i="3"/>
  <c r="H1054" i="3"/>
  <c r="H1053" i="3"/>
  <c r="H1052" i="3"/>
  <c r="H1051" i="3"/>
  <c r="H1050" i="3"/>
  <c r="H1049" i="3"/>
  <c r="H1048" i="3"/>
  <c r="H1047" i="3"/>
  <c r="H1046" i="3"/>
  <c r="H1045" i="3"/>
  <c r="H1044" i="3"/>
  <c r="H1043" i="3"/>
  <c r="H1042" i="3"/>
  <c r="H1041" i="3"/>
  <c r="H1040" i="3"/>
  <c r="H1039" i="3"/>
  <c r="H1038" i="3"/>
  <c r="H1037" i="3"/>
  <c r="H1036" i="3"/>
  <c r="H1035" i="3"/>
  <c r="H1034" i="3"/>
  <c r="H1033" i="3"/>
  <c r="H1032" i="3"/>
  <c r="H1031" i="3"/>
  <c r="H1030" i="3"/>
  <c r="H1029" i="3"/>
  <c r="H1028" i="3"/>
  <c r="H1027" i="3"/>
  <c r="H1026" i="3"/>
  <c r="H1025" i="3"/>
  <c r="H1024" i="3"/>
  <c r="H1023" i="3"/>
  <c r="H1022" i="3"/>
  <c r="H1021" i="3"/>
  <c r="H1020" i="3"/>
  <c r="H1019" i="3"/>
  <c r="H1018" i="3"/>
  <c r="H1017" i="3"/>
  <c r="H1016" i="3"/>
  <c r="H1015" i="3"/>
  <c r="H1014" i="3"/>
  <c r="H1013" i="3"/>
  <c r="H1012" i="3"/>
  <c r="H1011" i="3"/>
  <c r="H1010" i="3"/>
  <c r="H1009" i="3"/>
  <c r="H1008" i="3"/>
  <c r="H1007" i="3"/>
  <c r="H1006" i="3"/>
  <c r="H1005" i="3"/>
  <c r="H1004" i="3"/>
  <c r="H1003" i="3"/>
  <c r="H1002" i="3"/>
  <c r="H1001" i="3"/>
  <c r="H1000" i="3"/>
  <c r="H999" i="3"/>
  <c r="H998" i="3"/>
  <c r="H997" i="3"/>
  <c r="H996" i="3"/>
  <c r="H995" i="3"/>
  <c r="H994" i="3"/>
  <c r="H993" i="3"/>
  <c r="H992" i="3"/>
  <c r="H991" i="3"/>
  <c r="H990" i="3"/>
  <c r="H989" i="3"/>
  <c r="H988" i="3"/>
  <c r="H987" i="3"/>
  <c r="H986" i="3"/>
  <c r="H985" i="3"/>
  <c r="H984" i="3"/>
  <c r="H983" i="3"/>
  <c r="H982" i="3"/>
  <c r="H981" i="3"/>
  <c r="H980" i="3"/>
  <c r="H979" i="3"/>
  <c r="H978" i="3"/>
  <c r="H977" i="3"/>
  <c r="H976" i="3"/>
  <c r="H975" i="3"/>
  <c r="H974" i="3"/>
  <c r="H973" i="3"/>
  <c r="H972" i="3"/>
  <c r="H971" i="3"/>
  <c r="H970" i="3"/>
  <c r="H969" i="3"/>
  <c r="H968" i="3"/>
  <c r="H967" i="3"/>
  <c r="H966" i="3"/>
  <c r="H965" i="3"/>
  <c r="H964" i="3"/>
  <c r="H963" i="3"/>
  <c r="H962" i="3"/>
  <c r="H961" i="3"/>
  <c r="H960" i="3"/>
  <c r="H959" i="3"/>
  <c r="H958" i="3"/>
  <c r="H957" i="3"/>
  <c r="H956" i="3"/>
  <c r="H955" i="3"/>
  <c r="H954" i="3"/>
  <c r="H953" i="3"/>
  <c r="H952" i="3"/>
  <c r="H951" i="3"/>
  <c r="H950" i="3"/>
  <c r="H949" i="3"/>
  <c r="H948" i="3"/>
  <c r="H947" i="3"/>
  <c r="H946" i="3"/>
  <c r="H945" i="3"/>
  <c r="H944" i="3"/>
  <c r="H943" i="3"/>
  <c r="H942" i="3"/>
  <c r="H941" i="3"/>
  <c r="H940" i="3"/>
  <c r="H939" i="3"/>
  <c r="H938" i="3"/>
  <c r="H937" i="3"/>
  <c r="H936" i="3"/>
  <c r="H935" i="3"/>
  <c r="H934" i="3"/>
  <c r="H933" i="3"/>
  <c r="H932" i="3"/>
  <c r="H931" i="3"/>
  <c r="H930" i="3"/>
  <c r="H929" i="3"/>
  <c r="H928" i="3"/>
  <c r="H927" i="3"/>
  <c r="H926" i="3"/>
  <c r="H925" i="3"/>
  <c r="H924" i="3"/>
  <c r="H923" i="3"/>
  <c r="H922" i="3"/>
  <c r="H921" i="3"/>
  <c r="H920" i="3"/>
  <c r="H919" i="3"/>
  <c r="H918" i="3"/>
  <c r="H917" i="3"/>
  <c r="H916" i="3"/>
  <c r="H915" i="3"/>
  <c r="H914" i="3"/>
  <c r="H913" i="3"/>
  <c r="H912" i="3"/>
  <c r="H911" i="3"/>
  <c r="H910" i="3"/>
  <c r="H909" i="3"/>
  <c r="H908" i="3"/>
  <c r="H907" i="3"/>
  <c r="H906" i="3"/>
  <c r="H905" i="3"/>
  <c r="H904" i="3"/>
  <c r="H903" i="3"/>
  <c r="H902" i="3"/>
  <c r="H901" i="3"/>
  <c r="H900" i="3"/>
  <c r="H899" i="3"/>
  <c r="H898" i="3"/>
  <c r="H897" i="3"/>
  <c r="H896" i="3"/>
  <c r="H895" i="3"/>
  <c r="H894" i="3"/>
  <c r="H893" i="3"/>
  <c r="H892" i="3"/>
  <c r="H891" i="3"/>
  <c r="H890" i="3"/>
  <c r="H889" i="3"/>
  <c r="H888" i="3"/>
  <c r="H887" i="3"/>
  <c r="H886" i="3"/>
  <c r="H885" i="3"/>
  <c r="H884" i="3"/>
  <c r="H883" i="3"/>
  <c r="H882" i="3"/>
  <c r="H881" i="3"/>
  <c r="H880" i="3"/>
  <c r="H879" i="3"/>
  <c r="H878" i="3"/>
  <c r="H877" i="3"/>
  <c r="H876" i="3"/>
  <c r="H875" i="3"/>
  <c r="H874" i="3"/>
  <c r="H873" i="3"/>
  <c r="H872" i="3"/>
  <c r="H871" i="3"/>
  <c r="H870" i="3"/>
  <c r="H869" i="3"/>
  <c r="H868" i="3"/>
  <c r="H867" i="3"/>
  <c r="H866" i="3"/>
  <c r="H865" i="3"/>
  <c r="H864" i="3"/>
  <c r="H863" i="3"/>
  <c r="H862" i="3"/>
  <c r="H861" i="3"/>
  <c r="H860" i="3"/>
  <c r="H859" i="3"/>
  <c r="H858" i="3"/>
  <c r="H857" i="3"/>
  <c r="H856" i="3"/>
  <c r="H855" i="3"/>
  <c r="H854" i="3"/>
  <c r="H853" i="3"/>
  <c r="H852" i="3"/>
  <c r="H851" i="3"/>
  <c r="H850" i="3"/>
  <c r="H849" i="3"/>
  <c r="H848" i="3"/>
  <c r="H847" i="3"/>
  <c r="H846" i="3"/>
  <c r="H845" i="3"/>
  <c r="H844" i="3"/>
  <c r="H843" i="3"/>
  <c r="H842" i="3"/>
  <c r="H841" i="3"/>
  <c r="H840" i="3"/>
  <c r="H839" i="3"/>
  <c r="H838" i="3"/>
  <c r="H837" i="3"/>
  <c r="H836" i="3"/>
  <c r="H835" i="3"/>
  <c r="H834" i="3"/>
  <c r="H833" i="3"/>
  <c r="H832" i="3"/>
  <c r="H831" i="3"/>
  <c r="H830" i="3"/>
  <c r="H829" i="3"/>
  <c r="H828" i="3"/>
  <c r="H827" i="3"/>
  <c r="H826" i="3"/>
  <c r="H825" i="3"/>
  <c r="H824" i="3"/>
  <c r="H823" i="3"/>
  <c r="H822" i="3"/>
  <c r="H821" i="3"/>
  <c r="H820" i="3"/>
  <c r="H819" i="3"/>
  <c r="H818" i="3"/>
  <c r="H817" i="3"/>
  <c r="H816" i="3"/>
  <c r="H815" i="3"/>
  <c r="H814" i="3"/>
  <c r="H813" i="3"/>
  <c r="H812" i="3"/>
  <c r="H811" i="3"/>
  <c r="H810" i="3"/>
  <c r="H809" i="3"/>
  <c r="H808" i="3"/>
  <c r="H807" i="3"/>
  <c r="H806" i="3"/>
  <c r="H805" i="3"/>
  <c r="H804" i="3"/>
  <c r="H803" i="3"/>
  <c r="H802" i="3"/>
  <c r="H801" i="3"/>
  <c r="H800" i="3"/>
  <c r="H799" i="3"/>
  <c r="H798" i="3"/>
  <c r="H797" i="3"/>
  <c r="H796" i="3"/>
  <c r="H795" i="3"/>
  <c r="H794" i="3"/>
  <c r="H793" i="3"/>
  <c r="H792" i="3"/>
  <c r="H791" i="3"/>
  <c r="H790" i="3"/>
  <c r="H789" i="3"/>
  <c r="H788" i="3"/>
  <c r="H787" i="3"/>
  <c r="H786" i="3"/>
  <c r="H785" i="3"/>
  <c r="H784" i="3"/>
  <c r="H783" i="3"/>
  <c r="H782" i="3"/>
  <c r="H781" i="3"/>
  <c r="H780" i="3"/>
  <c r="H779" i="3"/>
  <c r="H778" i="3"/>
  <c r="H777" i="3"/>
  <c r="H776" i="3"/>
  <c r="H775" i="3"/>
  <c r="H774" i="3"/>
  <c r="H773" i="3"/>
  <c r="H772" i="3"/>
  <c r="H771" i="3"/>
  <c r="H770" i="3"/>
  <c r="H769" i="3"/>
  <c r="H768" i="3"/>
  <c r="H767" i="3"/>
  <c r="H766" i="3"/>
  <c r="H765" i="3"/>
  <c r="H764" i="3"/>
  <c r="H763" i="3"/>
  <c r="H762" i="3"/>
  <c r="H761" i="3"/>
  <c r="H760" i="3"/>
  <c r="H759" i="3"/>
  <c r="H758" i="3"/>
  <c r="H757" i="3"/>
  <c r="H756" i="3"/>
  <c r="H755" i="3"/>
  <c r="H754" i="3"/>
  <c r="H753" i="3"/>
  <c r="H752" i="3"/>
  <c r="H751" i="3"/>
  <c r="H750" i="3"/>
  <c r="H749" i="3"/>
  <c r="H748" i="3"/>
  <c r="H747" i="3"/>
  <c r="H746" i="3"/>
  <c r="H745" i="3"/>
  <c r="H744" i="3"/>
  <c r="H743" i="3"/>
  <c r="H742" i="3"/>
  <c r="H741" i="3"/>
  <c r="H740" i="3"/>
  <c r="H739" i="3"/>
  <c r="H738" i="3"/>
  <c r="H737" i="3"/>
  <c r="H736" i="3"/>
  <c r="H735" i="3"/>
  <c r="H734" i="3"/>
  <c r="H733" i="3"/>
  <c r="H732" i="3"/>
  <c r="H731" i="3"/>
  <c r="H730" i="3"/>
  <c r="H729" i="3"/>
  <c r="H728" i="3"/>
  <c r="H727" i="3"/>
  <c r="H726" i="3"/>
  <c r="H725" i="3"/>
  <c r="H724" i="3"/>
  <c r="H723" i="3"/>
  <c r="H722" i="3"/>
  <c r="H721" i="3"/>
  <c r="H720" i="3"/>
  <c r="H719" i="3"/>
  <c r="H718" i="3"/>
  <c r="H717" i="3"/>
  <c r="H716" i="3"/>
  <c r="H715" i="3"/>
  <c r="H714" i="3"/>
  <c r="H713" i="3"/>
  <c r="H712" i="3"/>
  <c r="H711" i="3"/>
  <c r="H710" i="3"/>
  <c r="H709" i="3"/>
  <c r="H708" i="3"/>
  <c r="H707" i="3"/>
  <c r="H706" i="3"/>
  <c r="H705" i="3"/>
  <c r="H704" i="3"/>
  <c r="H703" i="3"/>
  <c r="H702" i="3"/>
  <c r="H701" i="3"/>
  <c r="H700" i="3"/>
  <c r="H699" i="3"/>
  <c r="H698" i="3"/>
  <c r="H697" i="3"/>
  <c r="H696" i="3"/>
  <c r="H695" i="3"/>
  <c r="H694" i="3"/>
  <c r="H693" i="3"/>
  <c r="H692" i="3"/>
  <c r="H691" i="3"/>
  <c r="H690" i="3"/>
  <c r="H689" i="3"/>
  <c r="H688" i="3"/>
  <c r="H687" i="3"/>
  <c r="H686" i="3"/>
  <c r="H685" i="3"/>
  <c r="H684" i="3"/>
  <c r="H683" i="3"/>
  <c r="H682" i="3"/>
  <c r="H681" i="3"/>
  <c r="H680" i="3"/>
  <c r="H679" i="3"/>
  <c r="H678" i="3"/>
  <c r="H677" i="3"/>
  <c r="H676" i="3"/>
  <c r="H675" i="3"/>
  <c r="H674" i="3"/>
  <c r="H673" i="3"/>
  <c r="H672" i="3"/>
  <c r="H671" i="3"/>
  <c r="H670" i="3"/>
  <c r="H669" i="3"/>
  <c r="H668" i="3"/>
  <c r="H667" i="3"/>
  <c r="H666" i="3"/>
  <c r="H665" i="3"/>
  <c r="H664" i="3"/>
  <c r="H663" i="3"/>
  <c r="H662" i="3"/>
  <c r="H661" i="3"/>
  <c r="H660" i="3"/>
  <c r="H659" i="3"/>
  <c r="H658" i="3"/>
  <c r="H657" i="3"/>
  <c r="H656" i="3"/>
  <c r="H655" i="3"/>
  <c r="H654" i="3"/>
  <c r="H653" i="3"/>
  <c r="H652" i="3"/>
  <c r="H651" i="3"/>
  <c r="H650" i="3"/>
  <c r="H649" i="3"/>
  <c r="H648" i="3"/>
  <c r="H647" i="3"/>
  <c r="H646" i="3"/>
  <c r="H645" i="3"/>
  <c r="H644" i="3"/>
  <c r="H643" i="3"/>
  <c r="H642" i="3"/>
  <c r="H641" i="3"/>
  <c r="H640" i="3"/>
  <c r="H639" i="3"/>
  <c r="H638" i="3"/>
  <c r="H637" i="3"/>
  <c r="H636" i="3"/>
  <c r="H635" i="3"/>
  <c r="H634" i="3"/>
  <c r="H633" i="3"/>
  <c r="H632" i="3"/>
  <c r="H631" i="3"/>
  <c r="H630" i="3"/>
  <c r="H629" i="3"/>
  <c r="H628" i="3"/>
  <c r="H627" i="3"/>
  <c r="H626" i="3"/>
  <c r="H625" i="3"/>
  <c r="H624" i="3"/>
  <c r="H623" i="3"/>
  <c r="H622" i="3"/>
  <c r="H621" i="3"/>
  <c r="H620" i="3"/>
  <c r="H619" i="3"/>
  <c r="H618" i="3"/>
  <c r="H617" i="3"/>
  <c r="H616" i="3"/>
  <c r="H615" i="3"/>
  <c r="H614" i="3"/>
  <c r="H613" i="3"/>
  <c r="H612" i="3"/>
  <c r="H611" i="3"/>
  <c r="H610" i="3"/>
  <c r="H609" i="3"/>
  <c r="H608" i="3"/>
  <c r="H607" i="3"/>
  <c r="H606" i="3"/>
  <c r="H605" i="3"/>
  <c r="H604" i="3"/>
  <c r="H603" i="3"/>
  <c r="H602" i="3"/>
  <c r="H601" i="3"/>
  <c r="H600" i="3"/>
  <c r="H599" i="3"/>
  <c r="H598" i="3"/>
  <c r="H597" i="3"/>
  <c r="H596" i="3"/>
  <c r="H595" i="3"/>
  <c r="H594" i="3"/>
  <c r="H593" i="3"/>
  <c r="H592" i="3"/>
  <c r="H591" i="3"/>
  <c r="H590" i="3"/>
  <c r="H589" i="3"/>
  <c r="H588" i="3"/>
  <c r="H587" i="3"/>
  <c r="H586" i="3"/>
  <c r="H585" i="3"/>
  <c r="H584" i="3"/>
  <c r="H583" i="3"/>
  <c r="H582" i="3"/>
  <c r="H581" i="3"/>
  <c r="H580" i="3"/>
  <c r="H579" i="3"/>
  <c r="H578" i="3"/>
  <c r="H577" i="3"/>
  <c r="H576" i="3"/>
  <c r="H575" i="3"/>
  <c r="H574" i="3"/>
  <c r="H573" i="3"/>
  <c r="H572" i="3"/>
  <c r="H571" i="3"/>
  <c r="H570" i="3"/>
  <c r="H569" i="3"/>
  <c r="H568" i="3"/>
  <c r="H567" i="3"/>
  <c r="H566" i="3"/>
  <c r="H565" i="3"/>
  <c r="H564" i="3"/>
  <c r="H563" i="3"/>
  <c r="H562" i="3"/>
  <c r="H561" i="3"/>
  <c r="H560" i="3"/>
  <c r="H559" i="3"/>
  <c r="H558" i="3"/>
  <c r="H557" i="3"/>
  <c r="H556" i="3"/>
  <c r="H555" i="3"/>
  <c r="H554" i="3"/>
  <c r="H553" i="3"/>
  <c r="H552" i="3"/>
  <c r="H551" i="3"/>
  <c r="H550" i="3"/>
  <c r="H549" i="3"/>
  <c r="H548" i="3"/>
  <c r="H547" i="3"/>
  <c r="H546" i="3"/>
  <c r="H545" i="3"/>
  <c r="H544" i="3"/>
  <c r="H543" i="3"/>
  <c r="H542" i="3"/>
  <c r="H541" i="3"/>
  <c r="H540" i="3"/>
  <c r="H539" i="3"/>
  <c r="H538" i="3"/>
  <c r="H537" i="3"/>
  <c r="H536" i="3"/>
  <c r="H535" i="3"/>
  <c r="H534" i="3"/>
  <c r="H533" i="3"/>
  <c r="H532" i="3"/>
  <c r="H531" i="3"/>
  <c r="H530" i="3"/>
  <c r="H529" i="3"/>
  <c r="H528" i="3"/>
  <c r="H527" i="3"/>
  <c r="H526" i="3"/>
  <c r="H525" i="3"/>
  <c r="H524" i="3"/>
  <c r="H523" i="3"/>
  <c r="H522" i="3"/>
  <c r="H521" i="3"/>
  <c r="H520" i="3"/>
  <c r="H519" i="3"/>
  <c r="H518" i="3"/>
  <c r="H517" i="3"/>
  <c r="H516" i="3"/>
  <c r="H515" i="3"/>
  <c r="H514" i="3"/>
  <c r="H513" i="3"/>
  <c r="H512" i="3"/>
  <c r="H511" i="3"/>
  <c r="H510" i="3"/>
  <c r="H509" i="3"/>
  <c r="H508" i="3"/>
  <c r="H507" i="3"/>
  <c r="H506" i="3"/>
  <c r="H505" i="3"/>
  <c r="H504" i="3"/>
  <c r="H503" i="3"/>
  <c r="H502" i="3"/>
  <c r="H501" i="3"/>
  <c r="H500" i="3"/>
  <c r="H499" i="3"/>
  <c r="H498" i="3"/>
  <c r="H497" i="3"/>
  <c r="H496" i="3"/>
  <c r="H495" i="3"/>
  <c r="H494" i="3"/>
  <c r="H493" i="3"/>
  <c r="H492" i="3"/>
  <c r="H491" i="3"/>
  <c r="H490" i="3"/>
  <c r="H489" i="3"/>
  <c r="H488" i="3"/>
  <c r="H487" i="3"/>
  <c r="H486" i="3"/>
  <c r="H485" i="3"/>
  <c r="H484" i="3"/>
  <c r="H483" i="3"/>
  <c r="H482" i="3"/>
  <c r="H481" i="3"/>
  <c r="H480" i="3"/>
  <c r="H479" i="3"/>
  <c r="H478" i="3"/>
  <c r="H477" i="3"/>
  <c r="H476" i="3"/>
  <c r="H475" i="3"/>
  <c r="H474" i="3"/>
  <c r="H473" i="3"/>
  <c r="H472" i="3"/>
  <c r="H471" i="3"/>
  <c r="H470" i="3"/>
  <c r="H469" i="3"/>
  <c r="H468" i="3"/>
  <c r="H467" i="3"/>
  <c r="H466" i="3"/>
  <c r="H465" i="3"/>
  <c r="H464" i="3"/>
  <c r="H463" i="3"/>
  <c r="H462" i="3"/>
  <c r="H461" i="3"/>
  <c r="H460" i="3"/>
  <c r="H459" i="3"/>
  <c r="H458" i="3"/>
  <c r="H457" i="3"/>
  <c r="H456" i="3"/>
  <c r="H455" i="3"/>
  <c r="H454" i="3"/>
  <c r="H453" i="3"/>
  <c r="H452" i="3"/>
  <c r="H451" i="3"/>
  <c r="H450" i="3"/>
  <c r="H449" i="3"/>
  <c r="H448" i="3"/>
  <c r="H447" i="3"/>
  <c r="H446" i="3"/>
  <c r="H445" i="3"/>
  <c r="H444" i="3"/>
  <c r="H443" i="3"/>
  <c r="H442" i="3"/>
  <c r="H441" i="3"/>
  <c r="H440" i="3"/>
  <c r="H439" i="3"/>
  <c r="H438" i="3"/>
  <c r="H437" i="3"/>
  <c r="H436" i="3"/>
  <c r="H435" i="3"/>
  <c r="H434" i="3"/>
  <c r="H433" i="3"/>
  <c r="H432" i="3"/>
  <c r="H431" i="3"/>
  <c r="H430" i="3"/>
  <c r="H429" i="3"/>
  <c r="H428" i="3"/>
  <c r="H427" i="3"/>
  <c r="H426" i="3"/>
  <c r="H425" i="3"/>
  <c r="H424" i="3"/>
  <c r="H423" i="3"/>
  <c r="H422" i="3"/>
  <c r="H421" i="3"/>
  <c r="H420" i="3"/>
  <c r="H419" i="3"/>
  <c r="H418" i="3"/>
  <c r="H417" i="3"/>
  <c r="H416" i="3"/>
  <c r="H415" i="3"/>
  <c r="H414" i="3"/>
  <c r="H413" i="3"/>
  <c r="H412" i="3"/>
  <c r="H411" i="3"/>
  <c r="H410" i="3"/>
  <c r="H409" i="3"/>
  <c r="H408" i="3"/>
  <c r="H407" i="3"/>
  <c r="H406" i="3"/>
  <c r="H405" i="3"/>
  <c r="H404" i="3"/>
  <c r="H403" i="3"/>
  <c r="H402" i="3"/>
  <c r="H401" i="3"/>
  <c r="H400" i="3"/>
  <c r="H399" i="3"/>
  <c r="H398" i="3"/>
  <c r="H397" i="3"/>
  <c r="H396" i="3"/>
  <c r="H395" i="3"/>
  <c r="H394" i="3"/>
  <c r="H393" i="3"/>
  <c r="H392" i="3"/>
  <c r="H391" i="3"/>
  <c r="H390" i="3"/>
  <c r="H389" i="3"/>
  <c r="H388" i="3"/>
  <c r="H387" i="3"/>
  <c r="H386" i="3"/>
  <c r="H385" i="3"/>
  <c r="H384" i="3"/>
  <c r="H383" i="3"/>
  <c r="H382" i="3"/>
  <c r="H381" i="3"/>
  <c r="H380" i="3"/>
  <c r="H379" i="3"/>
  <c r="H378" i="3"/>
  <c r="H377" i="3"/>
  <c r="H376" i="3"/>
  <c r="H375" i="3"/>
  <c r="H374" i="3"/>
  <c r="H373" i="3"/>
  <c r="H372" i="3"/>
  <c r="H371" i="3"/>
  <c r="H370" i="3"/>
  <c r="H369" i="3"/>
  <c r="H368" i="3"/>
  <c r="H367" i="3"/>
  <c r="H366" i="3"/>
  <c r="H365" i="3"/>
  <c r="H364" i="3"/>
  <c r="H363" i="3"/>
  <c r="H362" i="3"/>
  <c r="H361" i="3"/>
  <c r="H360" i="3"/>
  <c r="H359" i="3"/>
  <c r="H358" i="3"/>
  <c r="H357" i="3"/>
  <c r="H356" i="3"/>
  <c r="H355" i="3"/>
  <c r="H354" i="3"/>
  <c r="H353" i="3"/>
  <c r="H352" i="3"/>
  <c r="H351" i="3"/>
  <c r="H350" i="3"/>
  <c r="H349" i="3"/>
  <c r="H348" i="3"/>
  <c r="H347" i="3"/>
  <c r="H346" i="3"/>
  <c r="H345" i="3"/>
  <c r="H344" i="3"/>
  <c r="H343" i="3"/>
  <c r="H342" i="3"/>
  <c r="H341" i="3"/>
  <c r="H340" i="3"/>
  <c r="H339" i="3"/>
  <c r="H338" i="3"/>
  <c r="H337" i="3"/>
  <c r="H336" i="3"/>
  <c r="H335" i="3"/>
  <c r="H334" i="3"/>
  <c r="H333" i="3"/>
  <c r="H332" i="3"/>
  <c r="H331" i="3"/>
  <c r="H330" i="3"/>
  <c r="H329" i="3"/>
  <c r="H328" i="3"/>
  <c r="H327" i="3"/>
  <c r="H326" i="3"/>
  <c r="H325" i="3"/>
  <c r="H324" i="3"/>
  <c r="H323" i="3"/>
  <c r="H322" i="3"/>
  <c r="H321" i="3"/>
  <c r="H320" i="3"/>
  <c r="H319" i="3"/>
  <c r="H318" i="3"/>
  <c r="H317" i="3"/>
  <c r="H316" i="3"/>
  <c r="H315" i="3"/>
  <c r="H314" i="3"/>
  <c r="H313" i="3"/>
  <c r="H312" i="3"/>
  <c r="H311" i="3"/>
  <c r="H310" i="3"/>
  <c r="H309" i="3"/>
  <c r="H308" i="3"/>
  <c r="H307" i="3"/>
  <c r="H306" i="3"/>
  <c r="H305" i="3"/>
  <c r="H304" i="3"/>
  <c r="H303" i="3"/>
  <c r="H302" i="3"/>
  <c r="H301" i="3"/>
  <c r="H300" i="3"/>
  <c r="H299" i="3"/>
  <c r="H298" i="3"/>
  <c r="H297" i="3"/>
  <c r="H296" i="3"/>
  <c r="H295" i="3"/>
  <c r="H294" i="3"/>
  <c r="H293" i="3"/>
  <c r="H292" i="3"/>
  <c r="H291" i="3"/>
  <c r="H290" i="3"/>
  <c r="H289" i="3"/>
  <c r="H288" i="3"/>
  <c r="H287" i="3"/>
  <c r="H286" i="3"/>
  <c r="H285" i="3"/>
  <c r="H284" i="3"/>
  <c r="H283" i="3"/>
  <c r="H282" i="3"/>
  <c r="H281" i="3"/>
  <c r="H280" i="3"/>
  <c r="H279" i="3"/>
  <c r="H278" i="3"/>
  <c r="H277" i="3"/>
  <c r="H276" i="3"/>
  <c r="H275" i="3"/>
  <c r="H274" i="3"/>
  <c r="H273" i="3"/>
  <c r="H272" i="3"/>
  <c r="H271" i="3"/>
  <c r="H270" i="3"/>
  <c r="H269" i="3"/>
  <c r="H268" i="3"/>
  <c r="H267" i="3"/>
  <c r="H266" i="3"/>
  <c r="H265" i="3"/>
  <c r="H264" i="3"/>
  <c r="H263" i="3"/>
  <c r="H262" i="3"/>
  <c r="H261" i="3"/>
  <c r="H260" i="3"/>
  <c r="H259" i="3"/>
  <c r="H258" i="3"/>
  <c r="H257" i="3"/>
  <c r="H256" i="3"/>
  <c r="H255" i="3"/>
  <c r="H254" i="3"/>
  <c r="H253" i="3"/>
  <c r="H252" i="3"/>
  <c r="H251" i="3"/>
  <c r="H250" i="3"/>
  <c r="H249" i="3"/>
  <c r="H248" i="3"/>
  <c r="H247" i="3"/>
  <c r="H246" i="3"/>
  <c r="H245" i="3"/>
  <c r="H244" i="3"/>
  <c r="H243" i="3"/>
  <c r="H242" i="3"/>
  <c r="H241" i="3"/>
  <c r="H240" i="3"/>
  <c r="H239" i="3"/>
  <c r="H238" i="3"/>
  <c r="H237" i="3"/>
  <c r="H236" i="3"/>
  <c r="H235" i="3"/>
  <c r="H234" i="3"/>
  <c r="H233" i="3"/>
  <c r="H232" i="3"/>
  <c r="H231" i="3"/>
  <c r="H230" i="3"/>
  <c r="H229" i="3"/>
  <c r="H228" i="3"/>
  <c r="H227" i="3"/>
  <c r="H226" i="3"/>
  <c r="H225" i="3"/>
  <c r="H224" i="3"/>
  <c r="H223" i="3"/>
  <c r="H222" i="3"/>
  <c r="H221" i="3"/>
  <c r="H220" i="3"/>
  <c r="H219" i="3"/>
  <c r="H218" i="3"/>
  <c r="H217" i="3"/>
  <c r="H216" i="3"/>
  <c r="H215" i="3"/>
  <c r="H214" i="3"/>
  <c r="H213" i="3"/>
  <c r="H212" i="3"/>
  <c r="H211" i="3"/>
  <c r="H210" i="3"/>
  <c r="H209" i="3"/>
  <c r="H208" i="3"/>
  <c r="H207" i="3"/>
  <c r="H206" i="3"/>
  <c r="H205" i="3"/>
  <c r="H204" i="3"/>
  <c r="H203" i="3"/>
  <c r="H202" i="3"/>
  <c r="H201" i="3"/>
  <c r="H200" i="3"/>
  <c r="H199" i="3"/>
  <c r="H198" i="3"/>
  <c r="H197" i="3"/>
  <c r="H196" i="3"/>
  <c r="H195" i="3"/>
  <c r="H194" i="3"/>
  <c r="H193" i="3"/>
  <c r="H192" i="3"/>
  <c r="H191" i="3"/>
  <c r="H190" i="3"/>
  <c r="H189" i="3"/>
  <c r="H188" i="3"/>
  <c r="H187" i="3"/>
  <c r="H186" i="3"/>
  <c r="H185" i="3"/>
  <c r="H184" i="3"/>
  <c r="H183" i="3"/>
  <c r="H182" i="3"/>
  <c r="H181" i="3"/>
  <c r="H180" i="3"/>
  <c r="H179" i="3"/>
  <c r="H178" i="3"/>
  <c r="H177" i="3"/>
  <c r="H176" i="3"/>
  <c r="H175" i="3"/>
  <c r="H174" i="3"/>
  <c r="H173" i="3"/>
  <c r="H172" i="3"/>
  <c r="H171" i="3"/>
  <c r="H170" i="3"/>
  <c r="H169" i="3"/>
  <c r="H168" i="3"/>
  <c r="H167" i="3"/>
  <c r="H166" i="3"/>
  <c r="H165" i="3"/>
  <c r="H164" i="3"/>
  <c r="H163" i="3"/>
  <c r="H162" i="3"/>
  <c r="H161" i="3"/>
  <c r="H160" i="3"/>
  <c r="H159" i="3"/>
  <c r="H158" i="3"/>
  <c r="H157" i="3"/>
  <c r="H156" i="3"/>
  <c r="H155" i="3"/>
  <c r="H154" i="3"/>
  <c r="H153" i="3"/>
  <c r="H152" i="3"/>
  <c r="H151" i="3"/>
  <c r="H150" i="3"/>
  <c r="H149" i="3"/>
  <c r="H148" i="3"/>
  <c r="H147" i="3"/>
  <c r="H146" i="3"/>
  <c r="H145" i="3"/>
  <c r="H144" i="3"/>
  <c r="H143" i="3"/>
  <c r="H142" i="3"/>
  <c r="H141" i="3"/>
  <c r="H140" i="3"/>
  <c r="H139" i="3"/>
  <c r="H138" i="3"/>
  <c r="H137" i="3"/>
  <c r="H136" i="3"/>
  <c r="H135" i="3"/>
  <c r="H134" i="3"/>
  <c r="H133" i="3"/>
  <c r="H132" i="3"/>
  <c r="H131" i="3"/>
  <c r="H130" i="3"/>
  <c r="H129" i="3"/>
  <c r="H128" i="3"/>
  <c r="H127" i="3"/>
  <c r="H126" i="3"/>
  <c r="H125" i="3"/>
  <c r="H124" i="3"/>
  <c r="H123" i="3"/>
  <c r="H122" i="3"/>
  <c r="H121" i="3"/>
  <c r="H120" i="3"/>
  <c r="H119" i="3"/>
  <c r="H118" i="3"/>
  <c r="H117" i="3"/>
  <c r="H116" i="3"/>
  <c r="H115" i="3"/>
  <c r="H114" i="3"/>
  <c r="H113" i="3"/>
  <c r="H112" i="3"/>
  <c r="H111" i="3"/>
  <c r="H110" i="3"/>
  <c r="H109" i="3"/>
  <c r="H108" i="3"/>
  <c r="H107" i="3"/>
  <c r="H106" i="3"/>
  <c r="H105" i="3"/>
  <c r="H104" i="3"/>
  <c r="H103" i="3"/>
  <c r="H102" i="3"/>
  <c r="H101" i="3"/>
  <c r="H100" i="3"/>
  <c r="H99" i="3"/>
  <c r="H98" i="3"/>
  <c r="H97" i="3"/>
  <c r="H96" i="3"/>
  <c r="H95" i="3"/>
  <c r="H94" i="3"/>
  <c r="H93" i="3"/>
  <c r="H92" i="3"/>
  <c r="H91" i="3"/>
  <c r="H90" i="3"/>
  <c r="H89" i="3"/>
  <c r="H88" i="3"/>
  <c r="H87" i="3"/>
  <c r="H86" i="3"/>
  <c r="H85" i="3"/>
  <c r="H84" i="3"/>
  <c r="H83" i="3"/>
  <c r="H82" i="3"/>
  <c r="H81" i="3"/>
  <c r="H80" i="3"/>
  <c r="H79" i="3"/>
  <c r="H78" i="3"/>
  <c r="H77" i="3"/>
  <c r="H76" i="3"/>
  <c r="H75" i="3"/>
  <c r="H74" i="3"/>
  <c r="H73" i="3"/>
  <c r="H72" i="3"/>
  <c r="H71" i="3"/>
  <c r="H7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H40" i="3"/>
  <c r="H39" i="3"/>
  <c r="H38" i="3"/>
  <c r="H37" i="3"/>
  <c r="H36" i="3"/>
  <c r="H35" i="3"/>
  <c r="H34" i="3"/>
  <c r="H33" i="3"/>
  <c r="H32" i="3"/>
  <c r="H31" i="3"/>
  <c r="H30" i="3"/>
  <c r="H29" i="3"/>
  <c r="H28" i="3"/>
  <c r="H27" i="3"/>
  <c r="H26" i="3"/>
  <c r="H25" i="3"/>
  <c r="H24" i="3"/>
  <c r="H23" i="3"/>
  <c r="H22" i="3"/>
  <c r="H21" i="3"/>
  <c r="H20" i="3"/>
  <c r="H19" i="3"/>
  <c r="H18" i="3"/>
  <c r="H17" i="3"/>
  <c r="H16" i="3"/>
  <c r="H15" i="3"/>
  <c r="H14" i="3"/>
  <c r="H13" i="3"/>
  <c r="H12" i="3"/>
  <c r="H11" i="3"/>
  <c r="H10" i="3"/>
  <c r="H9" i="3"/>
  <c r="H8" i="3"/>
  <c r="H7" i="3"/>
  <c r="H6" i="3"/>
  <c r="B5" i="2"/>
  <c r="B4" i="2"/>
  <c r="G766" i="2" s="1"/>
  <c r="G173" i="2" l="1"/>
  <c r="E173" i="2" s="1"/>
  <c r="G234" i="2"/>
  <c r="F234" i="2" s="1"/>
  <c r="H234" i="2" s="1"/>
  <c r="G28" i="2"/>
  <c r="F28" i="2" s="1"/>
  <c r="H28" i="2" s="1"/>
  <c r="G36" i="2"/>
  <c r="F36" i="2" s="1"/>
  <c r="H36" i="2" s="1"/>
  <c r="G783" i="2"/>
  <c r="F783" i="2" s="1"/>
  <c r="H783" i="2" s="1"/>
  <c r="G269" i="2"/>
  <c r="E269" i="2" s="1"/>
  <c r="G296" i="2"/>
  <c r="F296" i="2" s="1"/>
  <c r="H296" i="2" s="1"/>
  <c r="G44" i="2"/>
  <c r="F44" i="2" s="1"/>
  <c r="H44" i="2" s="1"/>
  <c r="G928" i="2"/>
  <c r="F928" i="2" s="1"/>
  <c r="H928" i="2" s="1"/>
  <c r="G52" i="2"/>
  <c r="F52" i="2" s="1"/>
  <c r="H52" i="2" s="1"/>
  <c r="G60" i="2"/>
  <c r="F60" i="2" s="1"/>
  <c r="H60" i="2" s="1"/>
  <c r="G68" i="2"/>
  <c r="F68" i="2" s="1"/>
  <c r="H68" i="2" s="1"/>
  <c r="G76" i="2"/>
  <c r="F76" i="2" s="1"/>
  <c r="H76" i="2" s="1"/>
  <c r="G118" i="2"/>
  <c r="F118" i="2" s="1"/>
  <c r="H118" i="2" s="1"/>
  <c r="G138" i="2"/>
  <c r="F138" i="2" s="1"/>
  <c r="H138" i="2" s="1"/>
  <c r="E766" i="2"/>
  <c r="F766" i="2"/>
  <c r="H766" i="2" s="1"/>
  <c r="B766" i="2"/>
  <c r="A766" i="2"/>
  <c r="E28" i="2"/>
  <c r="E44" i="2"/>
  <c r="E76" i="2"/>
  <c r="G101" i="2"/>
  <c r="G107" i="2"/>
  <c r="E118" i="2"/>
  <c r="G129" i="2"/>
  <c r="G190" i="2"/>
  <c r="G225" i="2"/>
  <c r="E234" i="2"/>
  <c r="G286" i="2"/>
  <c r="G426" i="2"/>
  <c r="G679" i="2"/>
  <c r="G201" i="2"/>
  <c r="G647" i="2"/>
  <c r="G164" i="2"/>
  <c r="G199" i="2"/>
  <c r="G260" i="2"/>
  <c r="G316" i="2"/>
  <c r="G327" i="2"/>
  <c r="G348" i="2"/>
  <c r="G359" i="2"/>
  <c r="G380" i="2"/>
  <c r="G391" i="2"/>
  <c r="G412" i="2"/>
  <c r="G518" i="2"/>
  <c r="G725" i="2"/>
  <c r="G114" i="2"/>
  <c r="G120" i="2"/>
  <c r="G142" i="2"/>
  <c r="G177" i="2"/>
  <c r="G238" i="2"/>
  <c r="G273" i="2"/>
  <c r="G291" i="2"/>
  <c r="G615" i="2"/>
  <c r="G748" i="2"/>
  <c r="G262" i="2"/>
  <c r="G125" i="2"/>
  <c r="G151" i="2"/>
  <c r="G212" i="2"/>
  <c r="G247" i="2"/>
  <c r="G311" i="2"/>
  <c r="G332" i="2"/>
  <c r="G343" i="2"/>
  <c r="G364" i="2"/>
  <c r="G375" i="2"/>
  <c r="G396" i="2"/>
  <c r="G407" i="2"/>
  <c r="A28" i="2"/>
  <c r="G298" i="2"/>
  <c r="G490" i="2"/>
  <c r="G103" i="2"/>
  <c r="G140" i="2"/>
  <c r="G175" i="2"/>
  <c r="G271" i="2"/>
  <c r="G308" i="2"/>
  <c r="G351" i="2"/>
  <c r="G372" i="2"/>
  <c r="G457" i="2"/>
  <c r="G26" i="2"/>
  <c r="G42" i="2"/>
  <c r="G58" i="2"/>
  <c r="G74" i="2"/>
  <c r="G149" i="2"/>
  <c r="G210" i="2"/>
  <c r="G245" i="2"/>
  <c r="G527" i="2"/>
  <c r="G24" i="2"/>
  <c r="G32" i="2"/>
  <c r="G40" i="2"/>
  <c r="G48" i="2"/>
  <c r="G56" i="2"/>
  <c r="G64" i="2"/>
  <c r="G72" i="2"/>
  <c r="G80" i="2"/>
  <c r="G105" i="2"/>
  <c r="G186" i="2"/>
  <c r="G221" i="2"/>
  <c r="G282" i="2"/>
  <c r="G301" i="2"/>
  <c r="G1013" i="2"/>
  <c r="B118" i="2"/>
  <c r="B234" i="2"/>
  <c r="G153" i="2"/>
  <c r="G214" i="2"/>
  <c r="G249" i="2"/>
  <c r="G303" i="2"/>
  <c r="G422" i="2"/>
  <c r="G583" i="2"/>
  <c r="G711" i="2"/>
  <c r="G763" i="2"/>
  <c r="G525" i="2"/>
  <c r="G116" i="2"/>
  <c r="G122" i="2"/>
  <c r="G127" i="2"/>
  <c r="G188" i="2"/>
  <c r="G223" i="2"/>
  <c r="G284" i="2"/>
  <c r="G324" i="2"/>
  <c r="G335" i="2"/>
  <c r="G356" i="2"/>
  <c r="G367" i="2"/>
  <c r="G388" i="2"/>
  <c r="G399" i="2"/>
  <c r="B76" i="2"/>
  <c r="F173" i="2"/>
  <c r="H173" i="2" s="1"/>
  <c r="A173" i="2"/>
  <c r="G2720" i="2"/>
  <c r="G2707" i="2"/>
  <c r="G2696" i="2"/>
  <c r="G2683" i="2"/>
  <c r="G2672" i="2"/>
  <c r="G2659" i="2"/>
  <c r="G2648" i="2"/>
  <c r="G2635" i="2"/>
  <c r="G2624" i="2"/>
  <c r="G2611" i="2"/>
  <c r="G2600" i="2"/>
  <c r="G2587" i="2"/>
  <c r="G2576" i="2"/>
  <c r="G2563" i="2"/>
  <c r="G2722" i="2"/>
  <c r="G2711" i="2"/>
  <c r="G2700" i="2"/>
  <c r="G2687" i="2"/>
  <c r="G2676" i="2"/>
  <c r="G2663" i="2"/>
  <c r="G2652" i="2"/>
  <c r="G2639" i="2"/>
  <c r="G2628" i="2"/>
  <c r="G2615" i="2"/>
  <c r="G2604" i="2"/>
  <c r="G2591" i="2"/>
  <c r="G2580" i="2"/>
  <c r="G2567" i="2"/>
  <c r="G2556" i="2"/>
  <c r="G2717" i="2"/>
  <c r="G2670" i="2"/>
  <c r="G2662" i="2"/>
  <c r="G2657" i="2"/>
  <c r="G2654" i="2"/>
  <c r="G2649" i="2"/>
  <c r="G2641" i="2"/>
  <c r="G2594" i="2"/>
  <c r="G2586" i="2"/>
  <c r="G2581" i="2"/>
  <c r="G2573" i="2"/>
  <c r="G2545" i="2"/>
  <c r="G2529" i="2"/>
  <c r="G2516" i="2"/>
  <c r="G2505" i="2"/>
  <c r="G2503" i="2"/>
  <c r="G2501" i="2"/>
  <c r="G2499" i="2"/>
  <c r="G2497" i="2"/>
  <c r="G2495" i="2"/>
  <c r="G2493" i="2"/>
  <c r="G2491" i="2"/>
  <c r="G2489" i="2"/>
  <c r="G2487" i="2"/>
  <c r="G2485" i="2"/>
  <c r="G2483" i="2"/>
  <c r="G2481" i="2"/>
  <c r="G2479" i="2"/>
  <c r="G2477" i="2"/>
  <c r="G2475" i="2"/>
  <c r="G2473" i="2"/>
  <c r="G2471" i="2"/>
  <c r="G2469" i="2"/>
  <c r="G2467" i="2"/>
  <c r="G2465" i="2"/>
  <c r="G2463" i="2"/>
  <c r="G2461" i="2"/>
  <c r="G2459" i="2"/>
  <c r="G2457" i="2"/>
  <c r="G2455" i="2"/>
  <c r="G2453" i="2"/>
  <c r="G2451" i="2"/>
  <c r="G2449" i="2"/>
  <c r="G2447" i="2"/>
  <c r="G2445" i="2"/>
  <c r="G2443" i="2"/>
  <c r="G2441" i="2"/>
  <c r="G2439" i="2"/>
  <c r="G2437" i="2"/>
  <c r="G2435" i="2"/>
  <c r="G2433" i="2"/>
  <c r="G2431" i="2"/>
  <c r="G2429" i="2"/>
  <c r="G2427" i="2"/>
  <c r="G2425" i="2"/>
  <c r="G2423" i="2"/>
  <c r="G2421" i="2"/>
  <c r="G2419" i="2"/>
  <c r="G2417" i="2"/>
  <c r="G2415" i="2"/>
  <c r="G2413" i="2"/>
  <c r="G2411" i="2"/>
  <c r="G2409" i="2"/>
  <c r="G2407" i="2"/>
  <c r="G2405" i="2"/>
  <c r="G2403" i="2"/>
  <c r="G2401" i="2"/>
  <c r="G2399" i="2"/>
  <c r="G2397" i="2"/>
  <c r="G2395" i="2"/>
  <c r="G2393" i="2"/>
  <c r="G2391" i="2"/>
  <c r="G2389" i="2"/>
  <c r="G2387" i="2"/>
  <c r="G2385" i="2"/>
  <c r="G2383" i="2"/>
  <c r="G2381" i="2"/>
  <c r="G2379" i="2"/>
  <c r="G2377" i="2"/>
  <c r="G2375" i="2"/>
  <c r="G2373" i="2"/>
  <c r="G2371" i="2"/>
  <c r="G2369" i="2"/>
  <c r="G2367" i="2"/>
  <c r="G2365" i="2"/>
  <c r="G2363" i="2"/>
  <c r="G2361" i="2"/>
  <c r="G2359" i="2"/>
  <c r="G2357" i="2"/>
  <c r="G2355" i="2"/>
  <c r="G2353" i="2"/>
  <c r="G2351" i="2"/>
  <c r="G2349" i="2"/>
  <c r="G2347" i="2"/>
  <c r="G2345" i="2"/>
  <c r="G2343" i="2"/>
  <c r="G2341" i="2"/>
  <c r="G2339" i="2"/>
  <c r="G2337" i="2"/>
  <c r="G2714" i="2"/>
  <c r="G2706" i="2"/>
  <c r="G2701" i="2"/>
  <c r="G2693" i="2"/>
  <c r="G2646" i="2"/>
  <c r="G2638" i="2"/>
  <c r="G2633" i="2"/>
  <c r="G2630" i="2"/>
  <c r="G2625" i="2"/>
  <c r="G2617" i="2"/>
  <c r="G2570" i="2"/>
  <c r="G2562" i="2"/>
  <c r="G2557" i="2"/>
  <c r="G2547" i="2"/>
  <c r="G2533" i="2"/>
  <c r="G2520" i="2"/>
  <c r="G2509" i="2"/>
  <c r="G2719" i="2"/>
  <c r="G2716" i="2"/>
  <c r="G2691" i="2"/>
  <c r="G2656" i="2"/>
  <c r="G2650" i="2"/>
  <c r="G2647" i="2"/>
  <c r="G2644" i="2"/>
  <c r="G2603" i="2"/>
  <c r="G2584" i="2"/>
  <c r="G2559" i="2"/>
  <c r="G2550" i="2"/>
  <c r="G2544" i="2"/>
  <c r="G2340" i="2"/>
  <c r="G2703" i="2"/>
  <c r="G2684" i="2"/>
  <c r="G2643" i="2"/>
  <c r="G2640" i="2"/>
  <c r="G2637" i="2"/>
  <c r="G2631" i="2"/>
  <c r="G2596" i="2"/>
  <c r="G2571" i="2"/>
  <c r="G2568" i="2"/>
  <c r="G2538" i="2"/>
  <c r="G2535" i="2"/>
  <c r="G2530" i="2"/>
  <c r="G2522" i="2"/>
  <c r="G2344" i="2"/>
  <c r="G2681" i="2"/>
  <c r="G2677" i="2"/>
  <c r="G2666" i="2"/>
  <c r="G2658" i="2"/>
  <c r="G2598" i="2"/>
  <c r="G2553" i="2"/>
  <c r="G2549" i="2"/>
  <c r="G2539" i="2"/>
  <c r="G2536" i="2"/>
  <c r="G2490" i="2"/>
  <c r="G2484" i="2"/>
  <c r="G2464" i="2"/>
  <c r="G2458" i="2"/>
  <c r="G2438" i="2"/>
  <c r="G2418" i="2"/>
  <c r="G2412" i="2"/>
  <c r="G2392" i="2"/>
  <c r="G2386" i="2"/>
  <c r="G2366" i="2"/>
  <c r="G2281" i="2"/>
  <c r="G2268" i="2"/>
  <c r="G2257" i="2"/>
  <c r="G2244" i="2"/>
  <c r="G2692" i="2"/>
  <c r="G2613" i="2"/>
  <c r="G2609" i="2"/>
  <c r="G2590" i="2"/>
  <c r="G2579" i="2"/>
  <c r="G2575" i="2"/>
  <c r="G2560" i="2"/>
  <c r="G2542" i="2"/>
  <c r="G2526" i="2"/>
  <c r="G2523" i="2"/>
  <c r="G2504" i="2"/>
  <c r="G2432" i="2"/>
  <c r="G2718" i="2"/>
  <c r="G2688" i="2"/>
  <c r="G2680" i="2"/>
  <c r="G2673" i="2"/>
  <c r="G2669" i="2"/>
  <c r="G2665" i="2"/>
  <c r="G2620" i="2"/>
  <c r="G2605" i="2"/>
  <c r="G2601" i="2"/>
  <c r="G2582" i="2"/>
  <c r="G2552" i="2"/>
  <c r="G2532" i="2"/>
  <c r="G2513" i="2"/>
  <c r="G2507" i="2"/>
  <c r="G2498" i="2"/>
  <c r="G2478" i="2"/>
  <c r="G2472" i="2"/>
  <c r="G2452" i="2"/>
  <c r="G2446" i="2"/>
  <c r="G2426" i="2"/>
  <c r="G2406" i="2"/>
  <c r="G2400" i="2"/>
  <c r="G2380" i="2"/>
  <c r="G2374" i="2"/>
  <c r="G2354" i="2"/>
  <c r="G2346" i="2"/>
  <c r="G2704" i="2"/>
  <c r="G2698" i="2"/>
  <c r="G2668" i="2"/>
  <c r="G2653" i="2"/>
  <c r="G2623" i="2"/>
  <c r="G2618" i="2"/>
  <c r="G2583" i="2"/>
  <c r="G2548" i="2"/>
  <c r="G2518" i="2"/>
  <c r="G2514" i="2"/>
  <c r="G2482" i="2"/>
  <c r="G2713" i="2"/>
  <c r="G2708" i="2"/>
  <c r="G2678" i="2"/>
  <c r="G2702" i="2"/>
  <c r="G2642" i="2"/>
  <c r="G2597" i="2"/>
  <c r="G2592" i="2"/>
  <c r="G2543" i="2"/>
  <c r="G2534" i="2"/>
  <c r="G2470" i="2"/>
  <c r="G2466" i="2"/>
  <c r="G2428" i="2"/>
  <c r="G2414" i="2"/>
  <c r="G2404" i="2"/>
  <c r="G2390" i="2"/>
  <c r="G2376" i="2"/>
  <c r="G2682" i="2"/>
  <c r="G2667" i="2"/>
  <c r="G2632" i="2"/>
  <c r="G2622" i="2"/>
  <c r="G2607" i="2"/>
  <c r="G2602" i="2"/>
  <c r="G2572" i="2"/>
  <c r="G2525" i="2"/>
  <c r="G2521" i="2"/>
  <c r="G2517" i="2"/>
  <c r="G2462" i="2"/>
  <c r="G2352" i="2"/>
  <c r="G2333" i="2"/>
  <c r="G2322" i="2"/>
  <c r="G2316" i="2"/>
  <c r="G2313" i="2"/>
  <c r="G2302" i="2"/>
  <c r="G2274" i="2"/>
  <c r="G2255" i="2"/>
  <c r="G2243" i="2"/>
  <c r="G2236" i="2"/>
  <c r="G2712" i="2"/>
  <c r="G2697" i="2"/>
  <c r="G2661" i="2"/>
  <c r="G2616" i="2"/>
  <c r="G2566" i="2"/>
  <c r="G2551" i="2"/>
  <c r="G2537" i="2"/>
  <c r="G2500" i="2"/>
  <c r="G2492" i="2"/>
  <c r="G2454" i="2"/>
  <c r="G2424" i="2"/>
  <c r="G2410" i="2"/>
  <c r="G2336" i="2"/>
  <c r="G2307" i="2"/>
  <c r="G2299" i="2"/>
  <c r="G2294" i="2"/>
  <c r="G2269" i="2"/>
  <c r="G2262" i="2"/>
  <c r="G2250" i="2"/>
  <c r="G2671" i="2"/>
  <c r="G2626" i="2"/>
  <c r="G2621" i="2"/>
  <c r="G2606" i="2"/>
  <c r="G2561" i="2"/>
  <c r="G2512" i="2"/>
  <c r="G2508" i="2"/>
  <c r="G2496" i="2"/>
  <c r="G2450" i="2"/>
  <c r="G2434" i="2"/>
  <c r="G2420" i="2"/>
  <c r="G2396" i="2"/>
  <c r="G2372" i="2"/>
  <c r="G2348" i="2"/>
  <c r="G2342" i="2"/>
  <c r="G2330" i="2"/>
  <c r="G2327" i="2"/>
  <c r="G2321" i="2"/>
  <c r="G2310" i="2"/>
  <c r="G2291" i="2"/>
  <c r="G2286" i="2"/>
  <c r="G2283" i="2"/>
  <c r="G2276" i="2"/>
  <c r="G2245" i="2"/>
  <c r="G2238" i="2"/>
  <c r="G2229" i="2"/>
  <c r="G2227" i="2"/>
  <c r="G2225" i="2"/>
  <c r="G2223" i="2"/>
  <c r="G2221" i="2"/>
  <c r="G2219" i="2"/>
  <c r="G2217" i="2"/>
  <c r="G2215" i="2"/>
  <c r="G2213" i="2"/>
  <c r="G2211" i="2"/>
  <c r="G2209" i="2"/>
  <c r="G2207" i="2"/>
  <c r="G2205" i="2"/>
  <c r="G2203" i="2"/>
  <c r="G2201" i="2"/>
  <c r="G2199" i="2"/>
  <c r="G2197" i="2"/>
  <c r="G2195" i="2"/>
  <c r="G2193" i="2"/>
  <c r="G2191" i="2"/>
  <c r="G2189" i="2"/>
  <c r="G2187" i="2"/>
  <c r="G2185" i="2"/>
  <c r="G2183" i="2"/>
  <c r="G2181" i="2"/>
  <c r="G2179" i="2"/>
  <c r="G2177" i="2"/>
  <c r="G2175" i="2"/>
  <c r="G2173" i="2"/>
  <c r="G2171" i="2"/>
  <c r="G2169" i="2"/>
  <c r="G2167" i="2"/>
  <c r="G2165" i="2"/>
  <c r="G2163" i="2"/>
  <c r="G2161" i="2"/>
  <c r="G2686" i="2"/>
  <c r="G2636" i="2"/>
  <c r="G2627" i="2"/>
  <c r="G2610" i="2"/>
  <c r="G2558" i="2"/>
  <c r="G2541" i="2"/>
  <c r="G2519" i="2"/>
  <c r="G2486" i="2"/>
  <c r="G2320" i="2"/>
  <c r="G2312" i="2"/>
  <c r="G2287" i="2"/>
  <c r="G2284" i="2"/>
  <c r="G2261" i="2"/>
  <c r="G2239" i="2"/>
  <c r="G2695" i="2"/>
  <c r="G2645" i="2"/>
  <c r="G2574" i="2"/>
  <c r="G2527" i="2"/>
  <c r="G2460" i="2"/>
  <c r="G2444" i="2"/>
  <c r="G2416" i="2"/>
  <c r="G2370" i="2"/>
  <c r="G2356" i="2"/>
  <c r="G2331" i="2"/>
  <c r="G2323" i="2"/>
  <c r="G2304" i="2"/>
  <c r="G2280" i="2"/>
  <c r="G2277" i="2"/>
  <c r="G2264" i="2"/>
  <c r="G2675" i="2"/>
  <c r="G2608" i="2"/>
  <c r="G2715" i="2"/>
  <c r="G2705" i="2"/>
  <c r="G2685" i="2"/>
  <c r="G2674" i="2"/>
  <c r="G2694" i="2"/>
  <c r="G2589" i="2"/>
  <c r="G2554" i="2"/>
  <c r="G2546" i="2"/>
  <c r="G2510" i="2"/>
  <c r="G2436" i="2"/>
  <c r="G2430" i="2"/>
  <c r="G2651" i="2"/>
  <c r="G2614" i="2"/>
  <c r="G2710" i="2"/>
  <c r="G2629" i="2"/>
  <c r="G2595" i="2"/>
  <c r="G2502" i="2"/>
  <c r="G2326" i="2"/>
  <c r="G2308" i="2"/>
  <c r="G2295" i="2"/>
  <c r="G2279" i="2"/>
  <c r="G2275" i="2"/>
  <c r="G2271" i="2"/>
  <c r="G2222" i="2"/>
  <c r="G2214" i="2"/>
  <c r="G2206" i="2"/>
  <c r="G2198" i="2"/>
  <c r="G2190" i="2"/>
  <c r="G2182" i="2"/>
  <c r="G2174" i="2"/>
  <c r="G2166" i="2"/>
  <c r="G2147" i="2"/>
  <c r="G2689" i="2"/>
  <c r="G2664" i="2"/>
  <c r="G2422" i="2"/>
  <c r="G2378" i="2"/>
  <c r="G2350" i="2"/>
  <c r="G2335" i="2"/>
  <c r="G2317" i="2"/>
  <c r="G2303" i="2"/>
  <c r="G2267" i="2"/>
  <c r="G2263" i="2"/>
  <c r="G2260" i="2"/>
  <c r="G2253" i="2"/>
  <c r="G2709" i="2"/>
  <c r="G2528" i="2"/>
  <c r="G2474" i="2"/>
  <c r="G2442" i="2"/>
  <c r="G2384" i="2"/>
  <c r="G2360" i="2"/>
  <c r="G2290" i="2"/>
  <c r="G2282" i="2"/>
  <c r="G2660" i="2"/>
  <c r="G2593" i="2"/>
  <c r="G2402" i="2"/>
  <c r="G2311" i="2"/>
  <c r="G2569" i="2"/>
  <c r="G2480" i="2"/>
  <c r="G2408" i="2"/>
  <c r="G2325" i="2"/>
  <c r="G2315" i="2"/>
  <c r="G2285" i="2"/>
  <c r="G2266" i="2"/>
  <c r="G2721" i="2"/>
  <c r="G2679" i="2"/>
  <c r="G2619" i="2"/>
  <c r="G2524" i="2"/>
  <c r="G2515" i="2"/>
  <c r="G2506" i="2"/>
  <c r="G2456" i="2"/>
  <c r="G2440" i="2"/>
  <c r="G2324" i="2"/>
  <c r="G2297" i="2"/>
  <c r="G2289" i="2"/>
  <c r="G2248" i="2"/>
  <c r="G2241" i="2"/>
  <c r="G2226" i="2"/>
  <c r="G2218" i="2"/>
  <c r="G2210" i="2"/>
  <c r="G2202" i="2"/>
  <c r="G2194" i="2"/>
  <c r="G2186" i="2"/>
  <c r="G2178" i="2"/>
  <c r="G2170" i="2"/>
  <c r="G2162" i="2"/>
  <c r="G2146" i="2"/>
  <c r="G2699" i="2"/>
  <c r="G2655" i="2"/>
  <c r="G2565" i="2"/>
  <c r="G2258" i="2"/>
  <c r="G2143" i="2"/>
  <c r="G2138" i="2"/>
  <c r="G2126" i="2"/>
  <c r="G2114" i="2"/>
  <c r="G2588" i="2"/>
  <c r="G2314" i="2"/>
  <c r="G2288" i="2"/>
  <c r="G2240" i="2"/>
  <c r="G2156" i="2"/>
  <c r="G2148" i="2"/>
  <c r="G2133" i="2"/>
  <c r="G2121" i="2"/>
  <c r="G2109" i="2"/>
  <c r="G2097" i="2"/>
  <c r="G2690" i="2"/>
  <c r="G2564" i="2"/>
  <c r="G2612" i="2"/>
  <c r="G2468" i="2"/>
  <c r="G2585" i="2"/>
  <c r="G2540" i="2"/>
  <c r="G2398" i="2"/>
  <c r="G2634" i="2"/>
  <c r="G2578" i="2"/>
  <c r="G2394" i="2"/>
  <c r="G2358" i="2"/>
  <c r="G2319" i="2"/>
  <c r="G2301" i="2"/>
  <c r="G2332" i="2"/>
  <c r="G2256" i="2"/>
  <c r="G2231" i="2"/>
  <c r="G2220" i="2"/>
  <c r="G2212" i="2"/>
  <c r="G2155" i="2"/>
  <c r="G2152" i="2"/>
  <c r="G2131" i="2"/>
  <c r="G2125" i="2"/>
  <c r="G2103" i="2"/>
  <c r="G2088" i="2"/>
  <c r="G2076" i="2"/>
  <c r="G2064" i="2"/>
  <c r="G2052" i="2"/>
  <c r="G2040" i="2"/>
  <c r="G2028" i="2"/>
  <c r="G2016" i="2"/>
  <c r="G2005" i="2"/>
  <c r="G2003" i="2"/>
  <c r="G2001" i="2"/>
  <c r="G1999" i="2"/>
  <c r="G1997" i="2"/>
  <c r="G1995" i="2"/>
  <c r="G1993" i="2"/>
  <c r="G1991" i="2"/>
  <c r="G1989" i="2"/>
  <c r="G1987" i="2"/>
  <c r="G1985" i="2"/>
  <c r="G1983" i="2"/>
  <c r="G1981" i="2"/>
  <c r="G1979" i="2"/>
  <c r="G1977" i="2"/>
  <c r="G1975" i="2"/>
  <c r="G1973" i="2"/>
  <c r="G1971" i="2"/>
  <c r="G1969" i="2"/>
  <c r="G1967" i="2"/>
  <c r="G1965" i="2"/>
  <c r="G1963" i="2"/>
  <c r="G1961" i="2"/>
  <c r="G1959" i="2"/>
  <c r="G1957" i="2"/>
  <c r="G1955" i="2"/>
  <c r="G1953" i="2"/>
  <c r="G1951" i="2"/>
  <c r="G1949" i="2"/>
  <c r="G1947" i="2"/>
  <c r="G1945" i="2"/>
  <c r="G1943" i="2"/>
  <c r="G1941" i="2"/>
  <c r="G1939" i="2"/>
  <c r="G1937" i="2"/>
  <c r="G1935" i="2"/>
  <c r="G1933" i="2"/>
  <c r="G1931" i="2"/>
  <c r="G1929" i="2"/>
  <c r="G1927" i="2"/>
  <c r="G1925" i="2"/>
  <c r="G1923" i="2"/>
  <c r="G1921" i="2"/>
  <c r="G1919" i="2"/>
  <c r="G1917" i="2"/>
  <c r="G1915" i="2"/>
  <c r="G1913" i="2"/>
  <c r="G1911" i="2"/>
  <c r="G1909" i="2"/>
  <c r="G1907" i="2"/>
  <c r="G1905" i="2"/>
  <c r="G1903" i="2"/>
  <c r="G1901" i="2"/>
  <c r="G1899" i="2"/>
  <c r="G1897" i="2"/>
  <c r="G1895" i="2"/>
  <c r="G1893" i="2"/>
  <c r="G1891" i="2"/>
  <c r="G1889" i="2"/>
  <c r="G1887" i="2"/>
  <c r="G1885" i="2"/>
  <c r="G1883" i="2"/>
  <c r="G1881" i="2"/>
  <c r="G1879" i="2"/>
  <c r="G1877" i="2"/>
  <c r="G2511" i="2"/>
  <c r="G2476" i="2"/>
  <c r="G2318" i="2"/>
  <c r="G2306" i="2"/>
  <c r="G2235" i="2"/>
  <c r="G2208" i="2"/>
  <c r="G2200" i="2"/>
  <c r="G2158" i="2"/>
  <c r="G2122" i="2"/>
  <c r="G2116" i="2"/>
  <c r="G2108" i="2"/>
  <c r="G2095" i="2"/>
  <c r="G2083" i="2"/>
  <c r="G2071" i="2"/>
  <c r="G2059" i="2"/>
  <c r="G2329" i="2"/>
  <c r="G2305" i="2"/>
  <c r="G2293" i="2"/>
  <c r="G2204" i="2"/>
  <c r="G2196" i="2"/>
  <c r="G2145" i="2"/>
  <c r="G2142" i="2"/>
  <c r="G2139" i="2"/>
  <c r="G2119" i="2"/>
  <c r="G2113" i="2"/>
  <c r="G2100" i="2"/>
  <c r="G2090" i="2"/>
  <c r="G2078" i="2"/>
  <c r="G2066" i="2"/>
  <c r="G2054" i="2"/>
  <c r="G2388" i="2"/>
  <c r="G2368" i="2"/>
  <c r="G2192" i="2"/>
  <c r="G2184" i="2"/>
  <c r="G2136" i="2"/>
  <c r="G2130" i="2"/>
  <c r="G2105" i="2"/>
  <c r="G2328" i="2"/>
  <c r="G2273" i="2"/>
  <c r="G2254" i="2"/>
  <c r="G2249" i="2"/>
  <c r="G2188" i="2"/>
  <c r="G2180" i="2"/>
  <c r="G2151" i="2"/>
  <c r="G2127" i="2"/>
  <c r="G2110" i="2"/>
  <c r="G2092" i="2"/>
  <c r="G2080" i="2"/>
  <c r="G2068" i="2"/>
  <c r="G2577" i="2"/>
  <c r="G2382" i="2"/>
  <c r="G2338" i="2"/>
  <c r="G2292" i="2"/>
  <c r="G2230" i="2"/>
  <c r="G2176" i="2"/>
  <c r="G2168" i="2"/>
  <c r="G2157" i="2"/>
  <c r="G2154" i="2"/>
  <c r="G2124" i="2"/>
  <c r="G2118" i="2"/>
  <c r="G2259" i="2"/>
  <c r="G2234" i="2"/>
  <c r="G2172" i="2"/>
  <c r="G2164" i="2"/>
  <c r="G2141" i="2"/>
  <c r="G2135" i="2"/>
  <c r="G2115" i="2"/>
  <c r="G2107" i="2"/>
  <c r="G2099" i="2"/>
  <c r="G2094" i="2"/>
  <c r="G2082" i="2"/>
  <c r="G2070" i="2"/>
  <c r="G2058" i="2"/>
  <c r="G2046" i="2"/>
  <c r="G2034" i="2"/>
  <c r="G2022" i="2"/>
  <c r="G2006" i="2"/>
  <c r="G2004" i="2"/>
  <c r="G2002" i="2"/>
  <c r="G2000" i="2"/>
  <c r="G1998" i="2"/>
  <c r="G1996" i="2"/>
  <c r="G1994" i="2"/>
  <c r="G1992" i="2"/>
  <c r="G1990" i="2"/>
  <c r="G1988" i="2"/>
  <c r="G1986" i="2"/>
  <c r="G1984" i="2"/>
  <c r="G1982" i="2"/>
  <c r="G1980" i="2"/>
  <c r="G1978" i="2"/>
  <c r="G1976" i="2"/>
  <c r="G1974" i="2"/>
  <c r="G1972" i="2"/>
  <c r="G1970" i="2"/>
  <c r="G1968" i="2"/>
  <c r="G1966" i="2"/>
  <c r="G1964" i="2"/>
  <c r="G1962" i="2"/>
  <c r="G1960" i="2"/>
  <c r="G1958" i="2"/>
  <c r="G1956" i="2"/>
  <c r="G1954" i="2"/>
  <c r="G1952" i="2"/>
  <c r="G1950" i="2"/>
  <c r="G1948" i="2"/>
  <c r="G1946" i="2"/>
  <c r="G1944" i="2"/>
  <c r="G1942" i="2"/>
  <c r="G1940" i="2"/>
  <c r="G1938" i="2"/>
  <c r="G1936" i="2"/>
  <c r="G1934" i="2"/>
  <c r="G1932" i="2"/>
  <c r="G1930" i="2"/>
  <c r="G1928" i="2"/>
  <c r="G1926" i="2"/>
  <c r="G1924" i="2"/>
  <c r="G1922" i="2"/>
  <c r="G1920" i="2"/>
  <c r="G1918" i="2"/>
  <c r="G1916" i="2"/>
  <c r="G1914" i="2"/>
  <c r="G1912" i="2"/>
  <c r="G1910" i="2"/>
  <c r="G1908" i="2"/>
  <c r="G1906" i="2"/>
  <c r="G1904" i="2"/>
  <c r="G1902" i="2"/>
  <c r="G1900" i="2"/>
  <c r="G1898" i="2"/>
  <c r="G1896" i="2"/>
  <c r="G1894" i="2"/>
  <c r="G1892" i="2"/>
  <c r="G1890" i="2"/>
  <c r="G1888" i="2"/>
  <c r="G1886" i="2"/>
  <c r="G1884" i="2"/>
  <c r="G1882" i="2"/>
  <c r="G1880" i="2"/>
  <c r="G2531" i="2"/>
  <c r="G2494" i="2"/>
  <c r="G2364" i="2"/>
  <c r="G2252" i="2"/>
  <c r="G2247" i="2"/>
  <c r="G2160" i="2"/>
  <c r="G2153" i="2"/>
  <c r="G2150" i="2"/>
  <c r="G2144" i="2"/>
  <c r="G2132" i="2"/>
  <c r="G2112" i="2"/>
  <c r="G2104" i="2"/>
  <c r="G2555" i="2"/>
  <c r="G2448" i="2"/>
  <c r="G2362" i="2"/>
  <c r="G2334" i="2"/>
  <c r="G2298" i="2"/>
  <c r="G2251" i="2"/>
  <c r="G2228" i="2"/>
  <c r="G2599" i="2"/>
  <c r="G2128" i="2"/>
  <c r="G2111" i="2"/>
  <c r="G2081" i="2"/>
  <c r="G2060" i="2"/>
  <c r="G2056" i="2"/>
  <c r="G2043" i="2"/>
  <c r="G2020" i="2"/>
  <c r="G2017" i="2"/>
  <c r="G2009" i="2"/>
  <c r="G2102" i="2"/>
  <c r="G2093" i="2"/>
  <c r="G2072" i="2"/>
  <c r="G2037" i="2"/>
  <c r="G2014" i="2"/>
  <c r="G2278" i="2"/>
  <c r="G2233" i="2"/>
  <c r="G2084" i="2"/>
  <c r="G2031" i="2"/>
  <c r="G2488" i="2"/>
  <c r="G2117" i="2"/>
  <c r="G2101" i="2"/>
  <c r="G2096" i="2"/>
  <c r="G2063" i="2"/>
  <c r="G2048" i="2"/>
  <c r="G2025" i="2"/>
  <c r="G2011" i="2"/>
  <c r="G2232" i="2"/>
  <c r="G2216" i="2"/>
  <c r="G2134" i="2"/>
  <c r="G2075" i="2"/>
  <c r="G2067" i="2"/>
  <c r="G2055" i="2"/>
  <c r="G2045" i="2"/>
  <c r="G2042" i="2"/>
  <c r="G2019" i="2"/>
  <c r="G2008" i="2"/>
  <c r="G2272" i="2"/>
  <c r="G2123" i="2"/>
  <c r="G2087" i="2"/>
  <c r="G2079" i="2"/>
  <c r="G2051" i="2"/>
  <c r="G2039" i="2"/>
  <c r="G2036" i="2"/>
  <c r="G2309" i="2"/>
  <c r="G2140" i="2"/>
  <c r="G2091" i="2"/>
  <c r="G2033" i="2"/>
  <c r="G2030" i="2"/>
  <c r="G2013" i="2"/>
  <c r="G1878" i="2"/>
  <c r="G2270" i="2"/>
  <c r="G2246" i="2"/>
  <c r="G2159" i="2"/>
  <c r="G2106" i="2"/>
  <c r="G2062" i="2"/>
  <c r="G2047" i="2"/>
  <c r="G2027" i="2"/>
  <c r="G2024" i="2"/>
  <c r="G2010" i="2"/>
  <c r="G2296" i="2"/>
  <c r="G2224" i="2"/>
  <c r="G2120" i="2"/>
  <c r="G2077" i="2"/>
  <c r="G2073" i="2"/>
  <c r="G2057" i="2"/>
  <c r="G2053" i="2"/>
  <c r="G2032" i="2"/>
  <c r="G2029" i="2"/>
  <c r="G2012" i="2"/>
  <c r="G1876" i="2"/>
  <c r="G1864" i="2"/>
  <c r="G1852" i="2"/>
  <c r="G1840" i="2"/>
  <c r="G1828" i="2"/>
  <c r="G2129" i="2"/>
  <c r="G2065" i="2"/>
  <c r="G2050" i="2"/>
  <c r="G2038" i="2"/>
  <c r="G2015" i="2"/>
  <c r="G2098" i="2"/>
  <c r="G2049" i="2"/>
  <c r="G2026" i="2"/>
  <c r="G1866" i="2"/>
  <c r="G1854" i="2"/>
  <c r="G1842" i="2"/>
  <c r="G1830" i="2"/>
  <c r="G1823" i="2"/>
  <c r="G2300" i="2"/>
  <c r="G1873" i="2"/>
  <c r="G1861" i="2"/>
  <c r="G1849" i="2"/>
  <c r="G1837" i="2"/>
  <c r="G1825" i="2"/>
  <c r="G2061" i="2"/>
  <c r="G2035" i="2"/>
  <c r="G1868" i="2"/>
  <c r="G1856" i="2"/>
  <c r="G1844" i="2"/>
  <c r="G1832" i="2"/>
  <c r="G2023" i="2"/>
  <c r="G1875" i="2"/>
  <c r="G1863" i="2"/>
  <c r="G1851" i="2"/>
  <c r="G1839" i="2"/>
  <c r="G1827" i="2"/>
  <c r="G2265" i="2"/>
  <c r="G2149" i="2"/>
  <c r="G2074" i="2"/>
  <c r="G2044" i="2"/>
  <c r="G2021" i="2"/>
  <c r="G1870" i="2"/>
  <c r="G1858" i="2"/>
  <c r="G1846" i="2"/>
  <c r="G1834" i="2"/>
  <c r="G1865" i="2"/>
  <c r="G1853" i="2"/>
  <c r="G1841" i="2"/>
  <c r="G1829" i="2"/>
  <c r="G1822" i="2"/>
  <c r="G1820" i="2"/>
  <c r="G1818" i="2"/>
  <c r="G1816" i="2"/>
  <c r="G1814" i="2"/>
  <c r="G1812" i="2"/>
  <c r="G1810" i="2"/>
  <c r="G1808" i="2"/>
  <c r="G1806" i="2"/>
  <c r="G1804" i="2"/>
  <c r="G1802" i="2"/>
  <c r="G1800" i="2"/>
  <c r="G1798" i="2"/>
  <c r="G1796" i="2"/>
  <c r="G1794" i="2"/>
  <c r="G1792" i="2"/>
  <c r="G1790" i="2"/>
  <c r="G1788" i="2"/>
  <c r="G1786" i="2"/>
  <c r="G1784" i="2"/>
  <c r="G1782" i="2"/>
  <c r="G1780" i="2"/>
  <c r="G1778" i="2"/>
  <c r="G1776" i="2"/>
  <c r="G1774" i="2"/>
  <c r="G1772" i="2"/>
  <c r="G1770" i="2"/>
  <c r="G2086" i="2"/>
  <c r="G2007" i="2"/>
  <c r="G2018" i="2"/>
  <c r="G1860" i="2"/>
  <c r="G1843" i="2"/>
  <c r="G1826" i="2"/>
  <c r="G1821" i="2"/>
  <c r="G1797" i="2"/>
  <c r="G1771" i="2"/>
  <c r="G1766" i="2"/>
  <c r="G1754" i="2"/>
  <c r="G1742" i="2"/>
  <c r="G1730" i="2"/>
  <c r="G1718" i="2"/>
  <c r="G1706" i="2"/>
  <c r="G1694" i="2"/>
  <c r="G1682" i="2"/>
  <c r="G1673" i="2"/>
  <c r="G1660" i="2"/>
  <c r="G1649" i="2"/>
  <c r="G1636" i="2"/>
  <c r="G1625" i="2"/>
  <c r="G1612" i="2"/>
  <c r="G1601" i="2"/>
  <c r="G1588" i="2"/>
  <c r="G1577" i="2"/>
  <c r="G2069" i="2"/>
  <c r="G1848" i="2"/>
  <c r="G1831" i="2"/>
  <c r="G1811" i="2"/>
  <c r="G1785" i="2"/>
  <c r="G1779" i="2"/>
  <c r="G1761" i="2"/>
  <c r="G1749" i="2"/>
  <c r="G1737" i="2"/>
  <c r="G1725" i="2"/>
  <c r="G1713" i="2"/>
  <c r="G1701" i="2"/>
  <c r="G1689" i="2"/>
  <c r="G1675" i="2"/>
  <c r="G1662" i="2"/>
  <c r="G1651" i="2"/>
  <c r="G1638" i="2"/>
  <c r="G1627" i="2"/>
  <c r="G1614" i="2"/>
  <c r="G1603" i="2"/>
  <c r="G1590" i="2"/>
  <c r="G1579" i="2"/>
  <c r="G1836" i="2"/>
  <c r="G1801" i="2"/>
  <c r="G1768" i="2"/>
  <c r="G1756" i="2"/>
  <c r="G1744" i="2"/>
  <c r="G1732" i="2"/>
  <c r="G1720" i="2"/>
  <c r="G1708" i="2"/>
  <c r="G1696" i="2"/>
  <c r="G1684" i="2"/>
  <c r="G1677" i="2"/>
  <c r="G1664" i="2"/>
  <c r="G1653" i="2"/>
  <c r="G1640" i="2"/>
  <c r="G1629" i="2"/>
  <c r="G1616" i="2"/>
  <c r="G1605" i="2"/>
  <c r="G1871" i="2"/>
  <c r="G1824" i="2"/>
  <c r="G1815" i="2"/>
  <c r="G1773" i="2"/>
  <c r="G1763" i="2"/>
  <c r="G1751" i="2"/>
  <c r="G1739" i="2"/>
  <c r="G1727" i="2"/>
  <c r="G1715" i="2"/>
  <c r="G1703" i="2"/>
  <c r="G1691" i="2"/>
  <c r="G1679" i="2"/>
  <c r="G1666" i="2"/>
  <c r="G1655" i="2"/>
  <c r="G1642" i="2"/>
  <c r="G1631" i="2"/>
  <c r="G1618" i="2"/>
  <c r="G1607" i="2"/>
  <c r="G1594" i="2"/>
  <c r="G1583" i="2"/>
  <c r="G1570" i="2"/>
  <c r="G2137" i="2"/>
  <c r="G1859" i="2"/>
  <c r="G1805" i="2"/>
  <c r="G1791" i="2"/>
  <c r="G1758" i="2"/>
  <c r="G1746" i="2"/>
  <c r="G1734" i="2"/>
  <c r="G1722" i="2"/>
  <c r="G1710" i="2"/>
  <c r="G1698" i="2"/>
  <c r="G1686" i="2"/>
  <c r="G1668" i="2"/>
  <c r="G1657" i="2"/>
  <c r="G1644" i="2"/>
  <c r="G1633" i="2"/>
  <c r="G1620" i="2"/>
  <c r="G1609" i="2"/>
  <c r="G1596" i="2"/>
  <c r="G1585" i="2"/>
  <c r="G1572" i="2"/>
  <c r="G1847" i="2"/>
  <c r="G1819" i="2"/>
  <c r="G1795" i="2"/>
  <c r="G1787" i="2"/>
  <c r="G1781" i="2"/>
  <c r="G1765" i="2"/>
  <c r="G1753" i="2"/>
  <c r="G1741" i="2"/>
  <c r="G1729" i="2"/>
  <c r="G1717" i="2"/>
  <c r="G1705" i="2"/>
  <c r="G1693" i="2"/>
  <c r="G2237" i="2"/>
  <c r="G2085" i="2"/>
  <c r="G1867" i="2"/>
  <c r="G1850" i="2"/>
  <c r="G1833" i="2"/>
  <c r="G1817" i="2"/>
  <c r="G1793" i="2"/>
  <c r="G1789" i="2"/>
  <c r="G1764" i="2"/>
  <c r="G1752" i="2"/>
  <c r="G1740" i="2"/>
  <c r="G1728" i="2"/>
  <c r="G1716" i="2"/>
  <c r="G1872" i="2"/>
  <c r="G1855" i="2"/>
  <c r="G1838" i="2"/>
  <c r="G1807" i="2"/>
  <c r="G1759" i="2"/>
  <c r="G1747" i="2"/>
  <c r="G2089" i="2"/>
  <c r="G1750" i="2"/>
  <c r="G1743" i="2"/>
  <c r="G1726" i="2"/>
  <c r="G1690" i="2"/>
  <c r="G1621" i="2"/>
  <c r="G1617" i="2"/>
  <c r="G1613" i="2"/>
  <c r="G1610" i="2"/>
  <c r="G1606" i="2"/>
  <c r="G1602" i="2"/>
  <c r="G1598" i="2"/>
  <c r="G1803" i="2"/>
  <c r="G1757" i="2"/>
  <c r="G1731" i="2"/>
  <c r="G1714" i="2"/>
  <c r="G1709" i="2"/>
  <c r="G1685" i="2"/>
  <c r="G1647" i="2"/>
  <c r="G1643" i="2"/>
  <c r="G1639" i="2"/>
  <c r="G1635" i="2"/>
  <c r="G1632" i="2"/>
  <c r="G1628" i="2"/>
  <c r="G1624" i="2"/>
  <c r="G1591" i="2"/>
  <c r="G1578" i="2"/>
  <c r="G1575" i="2"/>
  <c r="G2041" i="2"/>
  <c r="G1748" i="2"/>
  <c r="G1736" i="2"/>
  <c r="G1719" i="2"/>
  <c r="G1704" i="2"/>
  <c r="G1669" i="2"/>
  <c r="G1665" i="2"/>
  <c r="G1661" i="2"/>
  <c r="G1658" i="2"/>
  <c r="G1654" i="2"/>
  <c r="G1650" i="2"/>
  <c r="G1646" i="2"/>
  <c r="G1581" i="2"/>
  <c r="G1568" i="2"/>
  <c r="G1565" i="2"/>
  <c r="G1562" i="2"/>
  <c r="G1559" i="2"/>
  <c r="G1556" i="2"/>
  <c r="G1553" i="2"/>
  <c r="G1550" i="2"/>
  <c r="G1547" i="2"/>
  <c r="G1544" i="2"/>
  <c r="G1541" i="2"/>
  <c r="G1538" i="2"/>
  <c r="G1535" i="2"/>
  <c r="G1532" i="2"/>
  <c r="G1529" i="2"/>
  <c r="G1526" i="2"/>
  <c r="G1523" i="2"/>
  <c r="G1520" i="2"/>
  <c r="G1517" i="2"/>
  <c r="G1514" i="2"/>
  <c r="G1511" i="2"/>
  <c r="G1799" i="2"/>
  <c r="G1755" i="2"/>
  <c r="G1724" i="2"/>
  <c r="G1699" i="2"/>
  <c r="G1680" i="2"/>
  <c r="G1676" i="2"/>
  <c r="G1672" i="2"/>
  <c r="G1587" i="2"/>
  <c r="G1574" i="2"/>
  <c r="G1571" i="2"/>
  <c r="G1508" i="2"/>
  <c r="G1500" i="2"/>
  <c r="G1492" i="2"/>
  <c r="G1484" i="2"/>
  <c r="G1476" i="2"/>
  <c r="G1464" i="2"/>
  <c r="G1452" i="2"/>
  <c r="G1440" i="2"/>
  <c r="G1428" i="2"/>
  <c r="G1416" i="2"/>
  <c r="G1404" i="2"/>
  <c r="G1392" i="2"/>
  <c r="G1813" i="2"/>
  <c r="G1762" i="2"/>
  <c r="G1712" i="2"/>
  <c r="G1688" i="2"/>
  <c r="G1584" i="2"/>
  <c r="G1471" i="2"/>
  <c r="G1459" i="2"/>
  <c r="G1447" i="2"/>
  <c r="G1435" i="2"/>
  <c r="G1423" i="2"/>
  <c r="G1411" i="2"/>
  <c r="G1399" i="2"/>
  <c r="G1862" i="2"/>
  <c r="G1845" i="2"/>
  <c r="G1777" i="2"/>
  <c r="G1769" i="2"/>
  <c r="G1707" i="2"/>
  <c r="G1683" i="2"/>
  <c r="G1597" i="2"/>
  <c r="G1809" i="2"/>
  <c r="G1775" i="2"/>
  <c r="G1760" i="2"/>
  <c r="G1735" i="2"/>
  <c r="G1702" i="2"/>
  <c r="G1623" i="2"/>
  <c r="G1619" i="2"/>
  <c r="G1615" i="2"/>
  <c r="G1611" i="2"/>
  <c r="G1608" i="2"/>
  <c r="G1604" i="2"/>
  <c r="G1600" i="2"/>
  <c r="G1593" i="2"/>
  <c r="G1580" i="2"/>
  <c r="G1567" i="2"/>
  <c r="G1564" i="2"/>
  <c r="G1561" i="2"/>
  <c r="G1558" i="2"/>
  <c r="G1555" i="2"/>
  <c r="G1552" i="2"/>
  <c r="G1549" i="2"/>
  <c r="G1546" i="2"/>
  <c r="G1543" i="2"/>
  <c r="G1540" i="2"/>
  <c r="G1537" i="2"/>
  <c r="G1534" i="2"/>
  <c r="G1531" i="2"/>
  <c r="G1528" i="2"/>
  <c r="G1525" i="2"/>
  <c r="G1522" i="2"/>
  <c r="G1519" i="2"/>
  <c r="G1516" i="2"/>
  <c r="G1513" i="2"/>
  <c r="G1510" i="2"/>
  <c r="G1502" i="2"/>
  <c r="G1494" i="2"/>
  <c r="G1486" i="2"/>
  <c r="G1478" i="2"/>
  <c r="G1473" i="2"/>
  <c r="G1461" i="2"/>
  <c r="G1449" i="2"/>
  <c r="G1437" i="2"/>
  <c r="G1425" i="2"/>
  <c r="G1413" i="2"/>
  <c r="G1401" i="2"/>
  <c r="G1835" i="2"/>
  <c r="G1733" i="2"/>
  <c r="G1700" i="2"/>
  <c r="G1681" i="2"/>
  <c r="G1592" i="2"/>
  <c r="G1869" i="2"/>
  <c r="G1738" i="2"/>
  <c r="G1721" i="2"/>
  <c r="G1695" i="2"/>
  <c r="G1599" i="2"/>
  <c r="G1595" i="2"/>
  <c r="G1641" i="2"/>
  <c r="G1626" i="2"/>
  <c r="G1576" i="2"/>
  <c r="G1569" i="2"/>
  <c r="G1533" i="2"/>
  <c r="G1468" i="2"/>
  <c r="G1465" i="2"/>
  <c r="G1462" i="2"/>
  <c r="G1420" i="2"/>
  <c r="G1417" i="2"/>
  <c r="G1414" i="2"/>
  <c r="G1386" i="2"/>
  <c r="G1383" i="2"/>
  <c r="G1378" i="2"/>
  <c r="G1375" i="2"/>
  <c r="G1370" i="2"/>
  <c r="G1365" i="2"/>
  <c r="G1358" i="2"/>
  <c r="G1353" i="2"/>
  <c r="G1346" i="2"/>
  <c r="G1341" i="2"/>
  <c r="G1334" i="2"/>
  <c r="G1329" i="2"/>
  <c r="G1322" i="2"/>
  <c r="G1317" i="2"/>
  <c r="G1310" i="2"/>
  <c r="G1305" i="2"/>
  <c r="G1671" i="2"/>
  <c r="G1656" i="2"/>
  <c r="G1554" i="2"/>
  <c r="G1518" i="2"/>
  <c r="G1503" i="2"/>
  <c r="G1499" i="2"/>
  <c r="G1485" i="2"/>
  <c r="G1439" i="2"/>
  <c r="G1436" i="2"/>
  <c r="G1433" i="2"/>
  <c r="G1391" i="2"/>
  <c r="G1783" i="2"/>
  <c r="G1687" i="2"/>
  <c r="G1670" i="2"/>
  <c r="G1539" i="2"/>
  <c r="G1506" i="2"/>
  <c r="G1488" i="2"/>
  <c r="G1481" i="2"/>
  <c r="G1458" i="2"/>
  <c r="G1455" i="2"/>
  <c r="G1442" i="2"/>
  <c r="G1410" i="2"/>
  <c r="G1407" i="2"/>
  <c r="G1394" i="2"/>
  <c r="G1367" i="2"/>
  <c r="G1360" i="2"/>
  <c r="G1355" i="2"/>
  <c r="G1348" i="2"/>
  <c r="G1343" i="2"/>
  <c r="G1336" i="2"/>
  <c r="G1331" i="2"/>
  <c r="G1324" i="2"/>
  <c r="G1319" i="2"/>
  <c r="G1312" i="2"/>
  <c r="G1307" i="2"/>
  <c r="G1723" i="2"/>
  <c r="G1637" i="2"/>
  <c r="G1622" i="2"/>
  <c r="G1560" i="2"/>
  <c r="G1524" i="2"/>
  <c r="G1474" i="2"/>
  <c r="G1432" i="2"/>
  <c r="G1429" i="2"/>
  <c r="G1426" i="2"/>
  <c r="G1388" i="2"/>
  <c r="G1385" i="2"/>
  <c r="G1380" i="2"/>
  <c r="G1377" i="2"/>
  <c r="G1372" i="2"/>
  <c r="G1300" i="2"/>
  <c r="G1298" i="2"/>
  <c r="G1296" i="2"/>
  <c r="G1294" i="2"/>
  <c r="G1292" i="2"/>
  <c r="G1290" i="2"/>
  <c r="G1288" i="2"/>
  <c r="G1286" i="2"/>
  <c r="G1284" i="2"/>
  <c r="G1282" i="2"/>
  <c r="G1280" i="2"/>
  <c r="G1278" i="2"/>
  <c r="G1276" i="2"/>
  <c r="G1274" i="2"/>
  <c r="G1272" i="2"/>
  <c r="G1270" i="2"/>
  <c r="G1268" i="2"/>
  <c r="G1266" i="2"/>
  <c r="G1264" i="2"/>
  <c r="G1262" i="2"/>
  <c r="G1260" i="2"/>
  <c r="G1258" i="2"/>
  <c r="G1256" i="2"/>
  <c r="G1254" i="2"/>
  <c r="G1252" i="2"/>
  <c r="G1250" i="2"/>
  <c r="G1248" i="2"/>
  <c r="G1246" i="2"/>
  <c r="G1244" i="2"/>
  <c r="G1242" i="2"/>
  <c r="G1240" i="2"/>
  <c r="G1238" i="2"/>
  <c r="G1236" i="2"/>
  <c r="G1234" i="2"/>
  <c r="G1232" i="2"/>
  <c r="G1230" i="2"/>
  <c r="G1228" i="2"/>
  <c r="G1226" i="2"/>
  <c r="G1224" i="2"/>
  <c r="G1222" i="2"/>
  <c r="G1220" i="2"/>
  <c r="G1218" i="2"/>
  <c r="G1216" i="2"/>
  <c r="G1214" i="2"/>
  <c r="G1212" i="2"/>
  <c r="G1210" i="2"/>
  <c r="G1208" i="2"/>
  <c r="G1206" i="2"/>
  <c r="G1204" i="2"/>
  <c r="G1202" i="2"/>
  <c r="G1200" i="2"/>
  <c r="G1198" i="2"/>
  <c r="G1196" i="2"/>
  <c r="G1194" i="2"/>
  <c r="G1192" i="2"/>
  <c r="G1190" i="2"/>
  <c r="G1188" i="2"/>
  <c r="G1186" i="2"/>
  <c r="G1184" i="2"/>
  <c r="G1182" i="2"/>
  <c r="G1180" i="2"/>
  <c r="G1178" i="2"/>
  <c r="G1176" i="2"/>
  <c r="G1174" i="2"/>
  <c r="G1172" i="2"/>
  <c r="G1170" i="2"/>
  <c r="G1168" i="2"/>
  <c r="G1166" i="2"/>
  <c r="G1164" i="2"/>
  <c r="G1162" i="2"/>
  <c r="G1160" i="2"/>
  <c r="G1158" i="2"/>
  <c r="G1156" i="2"/>
  <c r="G1154" i="2"/>
  <c r="G1152" i="2"/>
  <c r="G1150" i="2"/>
  <c r="G1148" i="2"/>
  <c r="G1146" i="2"/>
  <c r="G1144" i="2"/>
  <c r="G1142" i="2"/>
  <c r="G1140" i="2"/>
  <c r="G1138" i="2"/>
  <c r="G1136" i="2"/>
  <c r="G1134" i="2"/>
  <c r="G1132" i="2"/>
  <c r="G1130" i="2"/>
  <c r="G1128" i="2"/>
  <c r="G1126" i="2"/>
  <c r="G1124" i="2"/>
  <c r="G1122" i="2"/>
  <c r="G1120" i="2"/>
  <c r="G1118" i="2"/>
  <c r="G1116" i="2"/>
  <c r="G1114" i="2"/>
  <c r="G1112" i="2"/>
  <c r="G1110" i="2"/>
  <c r="G1108" i="2"/>
  <c r="G1106" i="2"/>
  <c r="G1104" i="2"/>
  <c r="G1102" i="2"/>
  <c r="G1100" i="2"/>
  <c r="G1098" i="2"/>
  <c r="G1096" i="2"/>
  <c r="G1094" i="2"/>
  <c r="G1092" i="2"/>
  <c r="G1090" i="2"/>
  <c r="G1088" i="2"/>
  <c r="G1086" i="2"/>
  <c r="G1084" i="2"/>
  <c r="G1082" i="2"/>
  <c r="G1080" i="2"/>
  <c r="G1078" i="2"/>
  <c r="G1076" i="2"/>
  <c r="G1074" i="2"/>
  <c r="G1072" i="2"/>
  <c r="G1667" i="2"/>
  <c r="G1652" i="2"/>
  <c r="G1545" i="2"/>
  <c r="G1495" i="2"/>
  <c r="G1491" i="2"/>
  <c r="G1477" i="2"/>
  <c r="G1451" i="2"/>
  <c r="G1448" i="2"/>
  <c r="G1445" i="2"/>
  <c r="G1403" i="2"/>
  <c r="G1400" i="2"/>
  <c r="G1397" i="2"/>
  <c r="G1369" i="2"/>
  <c r="G1362" i="2"/>
  <c r="G1357" i="2"/>
  <c r="G1350" i="2"/>
  <c r="G1345" i="2"/>
  <c r="G1338" i="2"/>
  <c r="G1333" i="2"/>
  <c r="G1326" i="2"/>
  <c r="G1321" i="2"/>
  <c r="G1314" i="2"/>
  <c r="G1309" i="2"/>
  <c r="G1302" i="2"/>
  <c r="G1745" i="2"/>
  <c r="G1582" i="2"/>
  <c r="G1573" i="2"/>
  <c r="G1566" i="2"/>
  <c r="G1530" i="2"/>
  <c r="G1509" i="2"/>
  <c r="G1505" i="2"/>
  <c r="G1498" i="2"/>
  <c r="G1480" i="2"/>
  <c r="G1470" i="2"/>
  <c r="G1467" i="2"/>
  <c r="G1454" i="2"/>
  <c r="G1422" i="2"/>
  <c r="G1419" i="2"/>
  <c r="G1406" i="2"/>
  <c r="G1767" i="2"/>
  <c r="G1697" i="2"/>
  <c r="G1634" i="2"/>
  <c r="G1551" i="2"/>
  <c r="G1515" i="2"/>
  <c r="G1444" i="2"/>
  <c r="G1441" i="2"/>
  <c r="G1438" i="2"/>
  <c r="G1396" i="2"/>
  <c r="G1393" i="2"/>
  <c r="G1390" i="2"/>
  <c r="G1387" i="2"/>
  <c r="G1382" i="2"/>
  <c r="G1379" i="2"/>
  <c r="G1374" i="2"/>
  <c r="G1371" i="2"/>
  <c r="G1364" i="2"/>
  <c r="G1359" i="2"/>
  <c r="G1352" i="2"/>
  <c r="G1347" i="2"/>
  <c r="G1340" i="2"/>
  <c r="G1335" i="2"/>
  <c r="G1328" i="2"/>
  <c r="G1323" i="2"/>
  <c r="G1316" i="2"/>
  <c r="G1311" i="2"/>
  <c r="G1304" i="2"/>
  <c r="G1857" i="2"/>
  <c r="G1692" i="2"/>
  <c r="G1659" i="2"/>
  <c r="G1563" i="2"/>
  <c r="G1527" i="2"/>
  <c r="G1507" i="2"/>
  <c r="G1493" i="2"/>
  <c r="G1479" i="2"/>
  <c r="G1475" i="2"/>
  <c r="G1472" i="2"/>
  <c r="G1469" i="2"/>
  <c r="G1427" i="2"/>
  <c r="G1424" i="2"/>
  <c r="G1421" i="2"/>
  <c r="G1368" i="2"/>
  <c r="G1363" i="2"/>
  <c r="G1356" i="2"/>
  <c r="G1351" i="2"/>
  <c r="G1344" i="2"/>
  <c r="G1339" i="2"/>
  <c r="G1332" i="2"/>
  <c r="G1711" i="2"/>
  <c r="G1674" i="2"/>
  <c r="G1586" i="2"/>
  <c r="G1548" i="2"/>
  <c r="G1512" i="2"/>
  <c r="G1496" i="2"/>
  <c r="G1489" i="2"/>
  <c r="G1482" i="2"/>
  <c r="G1446" i="2"/>
  <c r="G1443" i="2"/>
  <c r="G1430" i="2"/>
  <c r="G1398" i="2"/>
  <c r="G1395" i="2"/>
  <c r="G1501" i="2"/>
  <c r="G1487" i="2"/>
  <c r="G1460" i="2"/>
  <c r="G1409" i="2"/>
  <c r="G1315" i="2"/>
  <c r="G1253" i="2"/>
  <c r="G1245" i="2"/>
  <c r="G1237" i="2"/>
  <c r="G1229" i="2"/>
  <c r="G1221" i="2"/>
  <c r="G1213" i="2"/>
  <c r="G1205" i="2"/>
  <c r="G1197" i="2"/>
  <c r="G1189" i="2"/>
  <c r="G1181" i="2"/>
  <c r="G1173" i="2"/>
  <c r="G1163" i="2"/>
  <c r="G1151" i="2"/>
  <c r="G1129" i="2"/>
  <c r="G1105" i="2"/>
  <c r="G1081" i="2"/>
  <c r="G1521" i="2"/>
  <c r="G1434" i="2"/>
  <c r="G1354" i="2"/>
  <c r="G1303" i="2"/>
  <c r="G1291" i="2"/>
  <c r="G1285" i="2"/>
  <c r="G1279" i="2"/>
  <c r="G1273" i="2"/>
  <c r="G1267" i="2"/>
  <c r="G1261" i="2"/>
  <c r="G1131" i="2"/>
  <c r="G1107" i="2"/>
  <c r="G1083" i="2"/>
  <c r="G1070" i="2"/>
  <c r="G1068" i="2"/>
  <c r="G1066" i="2"/>
  <c r="G1064" i="2"/>
  <c r="G1062" i="2"/>
  <c r="G1060" i="2"/>
  <c r="G1058" i="2"/>
  <c r="G1056" i="2"/>
  <c r="G1054" i="2"/>
  <c r="G1052" i="2"/>
  <c r="G1050" i="2"/>
  <c r="G1048" i="2"/>
  <c r="G1046" i="2"/>
  <c r="G1044" i="2"/>
  <c r="G1042" i="2"/>
  <c r="G1630" i="2"/>
  <c r="G1408" i="2"/>
  <c r="G1384" i="2"/>
  <c r="G1373" i="2"/>
  <c r="G1325" i="2"/>
  <c r="G1320" i="2"/>
  <c r="G1165" i="2"/>
  <c r="G1153" i="2"/>
  <c r="G1133" i="2"/>
  <c r="G1109" i="2"/>
  <c r="G1085" i="2"/>
  <c r="G1483" i="2"/>
  <c r="G1457" i="2"/>
  <c r="G1313" i="2"/>
  <c r="G1308" i="2"/>
  <c r="G1297" i="2"/>
  <c r="G1255" i="2"/>
  <c r="G1247" i="2"/>
  <c r="G1239" i="2"/>
  <c r="G1231" i="2"/>
  <c r="G1223" i="2"/>
  <c r="G1215" i="2"/>
  <c r="G1207" i="2"/>
  <c r="G1199" i="2"/>
  <c r="G1191" i="2"/>
  <c r="G1183" i="2"/>
  <c r="G1175" i="2"/>
  <c r="G1135" i="2"/>
  <c r="G1111" i="2"/>
  <c r="G1087" i="2"/>
  <c r="G1678" i="2"/>
  <c r="G1497" i="2"/>
  <c r="G1431" i="2"/>
  <c r="G1418" i="2"/>
  <c r="G1361" i="2"/>
  <c r="G1167" i="2"/>
  <c r="G1155" i="2"/>
  <c r="G1137" i="2"/>
  <c r="G1113" i="2"/>
  <c r="G1089" i="2"/>
  <c r="G1542" i="2"/>
  <c r="G1456" i="2"/>
  <c r="G1405" i="2"/>
  <c r="G1381" i="2"/>
  <c r="G1337" i="2"/>
  <c r="G1330" i="2"/>
  <c r="G1318" i="2"/>
  <c r="G1301" i="2"/>
  <c r="G1293" i="2"/>
  <c r="G1287" i="2"/>
  <c r="G1281" i="2"/>
  <c r="G1275" i="2"/>
  <c r="G1269" i="2"/>
  <c r="G1263" i="2"/>
  <c r="G1139" i="2"/>
  <c r="G1115" i="2"/>
  <c r="G1091" i="2"/>
  <c r="G1663" i="2"/>
  <c r="G1536" i="2"/>
  <c r="G1415" i="2"/>
  <c r="G1306" i="2"/>
  <c r="G1257" i="2"/>
  <c r="G1249" i="2"/>
  <c r="G1241" i="2"/>
  <c r="G1233" i="2"/>
  <c r="G1225" i="2"/>
  <c r="G1217" i="2"/>
  <c r="G1209" i="2"/>
  <c r="G1201" i="2"/>
  <c r="G1193" i="2"/>
  <c r="G1185" i="2"/>
  <c r="G1177" i="2"/>
  <c r="G1169" i="2"/>
  <c r="G1157" i="2"/>
  <c r="G1141" i="2"/>
  <c r="G1117" i="2"/>
  <c r="G1093" i="2"/>
  <c r="G1557" i="2"/>
  <c r="G1504" i="2"/>
  <c r="G1490" i="2"/>
  <c r="G1366" i="2"/>
  <c r="G1299" i="2"/>
  <c r="G1161" i="2"/>
  <c r="G1149" i="2"/>
  <c r="G1125" i="2"/>
  <c r="G1101" i="2"/>
  <c r="G1077" i="2"/>
  <c r="G1645" i="2"/>
  <c r="G1450" i="2"/>
  <c r="G1376" i="2"/>
  <c r="G1327" i="2"/>
  <c r="G1103" i="2"/>
  <c r="G1039" i="2"/>
  <c r="G1034" i="2"/>
  <c r="G1031" i="2"/>
  <c r="G1026" i="2"/>
  <c r="G1023" i="2"/>
  <c r="G1018" i="2"/>
  <c r="G1015" i="2"/>
  <c r="G1010" i="2"/>
  <c r="G1007" i="2"/>
  <c r="G1002" i="2"/>
  <c r="G999" i="2"/>
  <c r="G994" i="2"/>
  <c r="G991" i="2"/>
  <c r="G986" i="2"/>
  <c r="G983" i="2"/>
  <c r="G978" i="2"/>
  <c r="G975" i="2"/>
  <c r="G970" i="2"/>
  <c r="G967" i="2"/>
  <c r="G962" i="2"/>
  <c r="G959" i="2"/>
  <c r="G954" i="2"/>
  <c r="G951" i="2"/>
  <c r="G946" i="2"/>
  <c r="G943" i="2"/>
  <c r="G938" i="2"/>
  <c r="G935" i="2"/>
  <c r="G930" i="2"/>
  <c r="G927" i="2"/>
  <c r="G922" i="2"/>
  <c r="G919" i="2"/>
  <c r="G914" i="2"/>
  <c r="G911" i="2"/>
  <c r="G906" i="2"/>
  <c r="G903" i="2"/>
  <c r="G898" i="2"/>
  <c r="G895" i="2"/>
  <c r="G890" i="2"/>
  <c r="G887" i="2"/>
  <c r="G882" i="2"/>
  <c r="G879" i="2"/>
  <c r="G874" i="2"/>
  <c r="G871" i="2"/>
  <c r="G866" i="2"/>
  <c r="G863" i="2"/>
  <c r="G858" i="2"/>
  <c r="G855" i="2"/>
  <c r="G850" i="2"/>
  <c r="G847" i="2"/>
  <c r="G842" i="2"/>
  <c r="G839" i="2"/>
  <c r="G804" i="2"/>
  <c r="G793" i="2"/>
  <c r="G780" i="2"/>
  <c r="G769" i="2"/>
  <c r="G756" i="2"/>
  <c r="G745" i="2"/>
  <c r="G1453" i="2"/>
  <c r="G1402" i="2"/>
  <c r="G1159" i="2"/>
  <c r="G1095" i="2"/>
  <c r="G1069" i="2"/>
  <c r="G1063" i="2"/>
  <c r="G1057" i="2"/>
  <c r="G1051" i="2"/>
  <c r="G834" i="2"/>
  <c r="G829" i="2"/>
  <c r="G822" i="2"/>
  <c r="G817" i="2"/>
  <c r="G806" i="2"/>
  <c r="G795" i="2"/>
  <c r="G782" i="2"/>
  <c r="G1648" i="2"/>
  <c r="G1289" i="2"/>
  <c r="G1277" i="2"/>
  <c r="G1265" i="2"/>
  <c r="G1243" i="2"/>
  <c r="G1211" i="2"/>
  <c r="G1179" i="2"/>
  <c r="G1121" i="2"/>
  <c r="G808" i="2"/>
  <c r="G797" i="2"/>
  <c r="G784" i="2"/>
  <c r="G773" i="2"/>
  <c r="G760" i="2"/>
  <c r="G749" i="2"/>
  <c r="G1075" i="2"/>
  <c r="G1036" i="2"/>
  <c r="G1033" i="2"/>
  <c r="G1028" i="2"/>
  <c r="G1025" i="2"/>
  <c r="G1020" i="2"/>
  <c r="G1017" i="2"/>
  <c r="G1012" i="2"/>
  <c r="G1009" i="2"/>
  <c r="G1004" i="2"/>
  <c r="G1001" i="2"/>
  <c r="G996" i="2"/>
  <c r="G993" i="2"/>
  <c r="G988" i="2"/>
  <c r="G985" i="2"/>
  <c r="G980" i="2"/>
  <c r="G977" i="2"/>
  <c r="G972" i="2"/>
  <c r="G969" i="2"/>
  <c r="G964" i="2"/>
  <c r="G961" i="2"/>
  <c r="G956" i="2"/>
  <c r="G953" i="2"/>
  <c r="G948" i="2"/>
  <c r="G945" i="2"/>
  <c r="G940" i="2"/>
  <c r="G937" i="2"/>
  <c r="G932" i="2"/>
  <c r="G929" i="2"/>
  <c r="G924" i="2"/>
  <c r="G921" i="2"/>
  <c r="G916" i="2"/>
  <c r="G913" i="2"/>
  <c r="G908" i="2"/>
  <c r="G905" i="2"/>
  <c r="G900" i="2"/>
  <c r="G897" i="2"/>
  <c r="G892" i="2"/>
  <c r="G889" i="2"/>
  <c r="G884" i="2"/>
  <c r="G881" i="2"/>
  <c r="G876" i="2"/>
  <c r="G873" i="2"/>
  <c r="G868" i="2"/>
  <c r="G865" i="2"/>
  <c r="G860" i="2"/>
  <c r="G857" i="2"/>
  <c r="G852" i="2"/>
  <c r="G849" i="2"/>
  <c r="G844" i="2"/>
  <c r="G841" i="2"/>
  <c r="G836" i="2"/>
  <c r="G831" i="2"/>
  <c r="G824" i="2"/>
  <c r="G819" i="2"/>
  <c r="G810" i="2"/>
  <c r="G799" i="2"/>
  <c r="G786" i="2"/>
  <c r="G775" i="2"/>
  <c r="G762" i="2"/>
  <c r="G751" i="2"/>
  <c r="G1389" i="2"/>
  <c r="G1127" i="2"/>
  <c r="G1045" i="2"/>
  <c r="G1041" i="2"/>
  <c r="G812" i="2"/>
  <c r="G801" i="2"/>
  <c r="G788" i="2"/>
  <c r="G777" i="2"/>
  <c r="G764" i="2"/>
  <c r="G753" i="2"/>
  <c r="G740" i="2"/>
  <c r="G738" i="2"/>
  <c r="G736" i="2"/>
  <c r="G734" i="2"/>
  <c r="G732" i="2"/>
  <c r="G730" i="2"/>
  <c r="G728" i="2"/>
  <c r="G726" i="2"/>
  <c r="G724" i="2"/>
  <c r="G722" i="2"/>
  <c r="G720" i="2"/>
  <c r="G718" i="2"/>
  <c r="G716" i="2"/>
  <c r="G714" i="2"/>
  <c r="G712" i="2"/>
  <c r="G710" i="2"/>
  <c r="G708" i="2"/>
  <c r="G706" i="2"/>
  <c r="G704" i="2"/>
  <c r="G702" i="2"/>
  <c r="G700" i="2"/>
  <c r="G698" i="2"/>
  <c r="G696" i="2"/>
  <c r="G694" i="2"/>
  <c r="G692" i="2"/>
  <c r="G690" i="2"/>
  <c r="G688" i="2"/>
  <c r="G686" i="2"/>
  <c r="G684" i="2"/>
  <c r="G682" i="2"/>
  <c r="G680" i="2"/>
  <c r="G678" i="2"/>
  <c r="G676" i="2"/>
  <c r="G674" i="2"/>
  <c r="G672" i="2"/>
  <c r="G670" i="2"/>
  <c r="G668" i="2"/>
  <c r="G666" i="2"/>
  <c r="G664" i="2"/>
  <c r="G662" i="2"/>
  <c r="G660" i="2"/>
  <c r="G658" i="2"/>
  <c r="G656" i="2"/>
  <c r="G654" i="2"/>
  <c r="G652" i="2"/>
  <c r="G650" i="2"/>
  <c r="G648" i="2"/>
  <c r="G646" i="2"/>
  <c r="G644" i="2"/>
  <c r="G642" i="2"/>
  <c r="G640" i="2"/>
  <c r="G638" i="2"/>
  <c r="G636" i="2"/>
  <c r="G634" i="2"/>
  <c r="G632" i="2"/>
  <c r="G630" i="2"/>
  <c r="G628" i="2"/>
  <c r="G626" i="2"/>
  <c r="G624" i="2"/>
  <c r="G622" i="2"/>
  <c r="G620" i="2"/>
  <c r="G618" i="2"/>
  <c r="G616" i="2"/>
  <c r="G614" i="2"/>
  <c r="G612" i="2"/>
  <c r="G610" i="2"/>
  <c r="G608" i="2"/>
  <c r="G606" i="2"/>
  <c r="G604" i="2"/>
  <c r="G602" i="2"/>
  <c r="G600" i="2"/>
  <c r="G598" i="2"/>
  <c r="G596" i="2"/>
  <c r="G594" i="2"/>
  <c r="G592" i="2"/>
  <c r="G590" i="2"/>
  <c r="G588" i="2"/>
  <c r="G586" i="2"/>
  <c r="G584" i="2"/>
  <c r="G582" i="2"/>
  <c r="G580" i="2"/>
  <c r="G578" i="2"/>
  <c r="G576" i="2"/>
  <c r="G574" i="2"/>
  <c r="G572" i="2"/>
  <c r="G570" i="2"/>
  <c r="G568" i="2"/>
  <c r="G566" i="2"/>
  <c r="G564" i="2"/>
  <c r="G562" i="2"/>
  <c r="G560" i="2"/>
  <c r="G558" i="2"/>
  <c r="G556" i="2"/>
  <c r="G554" i="2"/>
  <c r="G552" i="2"/>
  <c r="G550" i="2"/>
  <c r="G548" i="2"/>
  <c r="G546" i="2"/>
  <c r="G544" i="2"/>
  <c r="G542" i="2"/>
  <c r="G540" i="2"/>
  <c r="G1589" i="2"/>
  <c r="G1349" i="2"/>
  <c r="G1251" i="2"/>
  <c r="G1219" i="2"/>
  <c r="G1187" i="2"/>
  <c r="G1147" i="2"/>
  <c r="G1119" i="2"/>
  <c r="G1067" i="2"/>
  <c r="G1061" i="2"/>
  <c r="G1055" i="2"/>
  <c r="G1049" i="2"/>
  <c r="G833" i="2"/>
  <c r="G826" i="2"/>
  <c r="G821" i="2"/>
  <c r="G814" i="2"/>
  <c r="G803" i="2"/>
  <c r="G790" i="2"/>
  <c r="G779" i="2"/>
  <c r="G2242" i="2"/>
  <c r="G1073" i="2"/>
  <c r="G1038" i="2"/>
  <c r="G1035" i="2"/>
  <c r="G1030" i="2"/>
  <c r="G1027" i="2"/>
  <c r="G1022" i="2"/>
  <c r="G1019" i="2"/>
  <c r="G1014" i="2"/>
  <c r="G1011" i="2"/>
  <c r="G1006" i="2"/>
  <c r="G1003" i="2"/>
  <c r="G998" i="2"/>
  <c r="G995" i="2"/>
  <c r="G990" i="2"/>
  <c r="G987" i="2"/>
  <c r="G982" i="2"/>
  <c r="G979" i="2"/>
  <c r="G974" i="2"/>
  <c r="G971" i="2"/>
  <c r="G966" i="2"/>
  <c r="G963" i="2"/>
  <c r="G958" i="2"/>
  <c r="G955" i="2"/>
  <c r="G950" i="2"/>
  <c r="G947" i="2"/>
  <c r="G942" i="2"/>
  <c r="G939" i="2"/>
  <c r="G934" i="2"/>
  <c r="G931" i="2"/>
  <c r="G926" i="2"/>
  <c r="G923" i="2"/>
  <c r="G918" i="2"/>
  <c r="G915" i="2"/>
  <c r="G910" i="2"/>
  <c r="G907" i="2"/>
  <c r="G902" i="2"/>
  <c r="G899" i="2"/>
  <c r="G894" i="2"/>
  <c r="G891" i="2"/>
  <c r="G886" i="2"/>
  <c r="G883" i="2"/>
  <c r="G878" i="2"/>
  <c r="G875" i="2"/>
  <c r="G870" i="2"/>
  <c r="G867" i="2"/>
  <c r="G862" i="2"/>
  <c r="G859" i="2"/>
  <c r="G854" i="2"/>
  <c r="G851" i="2"/>
  <c r="G846" i="2"/>
  <c r="G843" i="2"/>
  <c r="G838" i="2"/>
  <c r="G805" i="2"/>
  <c r="G792" i="2"/>
  <c r="G781" i="2"/>
  <c r="G768" i="2"/>
  <c r="G757" i="2"/>
  <c r="G744" i="2"/>
  <c r="G1097" i="2"/>
  <c r="G1047" i="2"/>
  <c r="G1043" i="2"/>
  <c r="G1040" i="2"/>
  <c r="G813" i="2"/>
  <c r="G800" i="2"/>
  <c r="G1463" i="2"/>
  <c r="G1412" i="2"/>
  <c r="G1235" i="2"/>
  <c r="G1203" i="2"/>
  <c r="G1171" i="2"/>
  <c r="G1123" i="2"/>
  <c r="G832" i="2"/>
  <c r="G827" i="2"/>
  <c r="G820" i="2"/>
  <c r="G815" i="2"/>
  <c r="G828" i="2"/>
  <c r="G811" i="2"/>
  <c r="G798" i="2"/>
  <c r="G787" i="2"/>
  <c r="G758" i="2"/>
  <c r="G743" i="2"/>
  <c r="G561" i="2"/>
  <c r="G549" i="2"/>
  <c r="G535" i="2"/>
  <c r="G524" i="2"/>
  <c r="G511" i="2"/>
  <c r="G500" i="2"/>
  <c r="G487" i="2"/>
  <c r="G476" i="2"/>
  <c r="G463" i="2"/>
  <c r="G452" i="2"/>
  <c r="G439" i="2"/>
  <c r="G428" i="2"/>
  <c r="G1259" i="2"/>
  <c r="G765" i="2"/>
  <c r="G761" i="2"/>
  <c r="G754" i="2"/>
  <c r="G750" i="2"/>
  <c r="G746" i="2"/>
  <c r="G739" i="2"/>
  <c r="G733" i="2"/>
  <c r="G727" i="2"/>
  <c r="G721" i="2"/>
  <c r="G715" i="2"/>
  <c r="G707" i="2"/>
  <c r="G699" i="2"/>
  <c r="G691" i="2"/>
  <c r="G683" i="2"/>
  <c r="G675" i="2"/>
  <c r="G667" i="2"/>
  <c r="G659" i="2"/>
  <c r="G651" i="2"/>
  <c r="G643" i="2"/>
  <c r="G635" i="2"/>
  <c r="G627" i="2"/>
  <c r="G619" i="2"/>
  <c r="G611" i="2"/>
  <c r="G603" i="2"/>
  <c r="G595" i="2"/>
  <c r="G587" i="2"/>
  <c r="G579" i="2"/>
  <c r="G571" i="2"/>
  <c r="G537" i="2"/>
  <c r="G526" i="2"/>
  <c r="G513" i="2"/>
  <c r="G502" i="2"/>
  <c r="G489" i="2"/>
  <c r="G478" i="2"/>
  <c r="G465" i="2"/>
  <c r="G454" i="2"/>
  <c r="G441" i="2"/>
  <c r="G1466" i="2"/>
  <c r="G1059" i="2"/>
  <c r="G1029" i="2"/>
  <c r="G1008" i="2"/>
  <c r="G997" i="2"/>
  <c r="G976" i="2"/>
  <c r="G965" i="2"/>
  <c r="G944" i="2"/>
  <c r="G933" i="2"/>
  <c r="G912" i="2"/>
  <c r="G901" i="2"/>
  <c r="G880" i="2"/>
  <c r="G869" i="2"/>
  <c r="G848" i="2"/>
  <c r="G837" i="2"/>
  <c r="G818" i="2"/>
  <c r="G776" i="2"/>
  <c r="G772" i="2"/>
  <c r="G742" i="2"/>
  <c r="G563" i="2"/>
  <c r="G551" i="2"/>
  <c r="G539" i="2"/>
  <c r="G528" i="2"/>
  <c r="G515" i="2"/>
  <c r="G504" i="2"/>
  <c r="G491" i="2"/>
  <c r="G480" i="2"/>
  <c r="G467" i="2"/>
  <c r="G456" i="2"/>
  <c r="G443" i="2"/>
  <c r="G432" i="2"/>
  <c r="G419" i="2"/>
  <c r="G417" i="2"/>
  <c r="G415" i="2"/>
  <c r="G835" i="2"/>
  <c r="G816" i="2"/>
  <c r="G809" i="2"/>
  <c r="G796" i="2"/>
  <c r="G530" i="2"/>
  <c r="G517" i="2"/>
  <c r="G506" i="2"/>
  <c r="G493" i="2"/>
  <c r="G482" i="2"/>
  <c r="G469" i="2"/>
  <c r="G458" i="2"/>
  <c r="G445" i="2"/>
  <c r="G434" i="2"/>
  <c r="G421" i="2"/>
  <c r="G1295" i="2"/>
  <c r="G1079" i="2"/>
  <c r="G791" i="2"/>
  <c r="G785" i="2"/>
  <c r="G709" i="2"/>
  <c r="G701" i="2"/>
  <c r="G693" i="2"/>
  <c r="G685" i="2"/>
  <c r="G677" i="2"/>
  <c r="G669" i="2"/>
  <c r="G661" i="2"/>
  <c r="G653" i="2"/>
  <c r="G645" i="2"/>
  <c r="G637" i="2"/>
  <c r="G629" i="2"/>
  <c r="G621" i="2"/>
  <c r="G613" i="2"/>
  <c r="G605" i="2"/>
  <c r="G597" i="2"/>
  <c r="G589" i="2"/>
  <c r="G581" i="2"/>
  <c r="G573" i="2"/>
  <c r="G565" i="2"/>
  <c r="G553" i="2"/>
  <c r="G541" i="2"/>
  <c r="G532" i="2"/>
  <c r="G519" i="2"/>
  <c r="G508" i="2"/>
  <c r="G495" i="2"/>
  <c r="G484" i="2"/>
  <c r="G471" i="2"/>
  <c r="G460" i="2"/>
  <c r="G447" i="2"/>
  <c r="G436" i="2"/>
  <c r="G423" i="2"/>
  <c r="G1053" i="2"/>
  <c r="G1037" i="2"/>
  <c r="G1016" i="2"/>
  <c r="G1005" i="2"/>
  <c r="G984" i="2"/>
  <c r="G973" i="2"/>
  <c r="G952" i="2"/>
  <c r="G941" i="2"/>
  <c r="G920" i="2"/>
  <c r="G909" i="2"/>
  <c r="G888" i="2"/>
  <c r="G877" i="2"/>
  <c r="G856" i="2"/>
  <c r="G845" i="2"/>
  <c r="G825" i="2"/>
  <c r="G802" i="2"/>
  <c r="G735" i="2"/>
  <c r="G729" i="2"/>
  <c r="G723" i="2"/>
  <c r="G717" i="2"/>
  <c r="G534" i="2"/>
  <c r="G521" i="2"/>
  <c r="G510" i="2"/>
  <c r="G497" i="2"/>
  <c r="G486" i="2"/>
  <c r="G473" i="2"/>
  <c r="G462" i="2"/>
  <c r="G449" i="2"/>
  <c r="G438" i="2"/>
  <c r="G1099" i="2"/>
  <c r="G823" i="2"/>
  <c r="G807" i="2"/>
  <c r="G771" i="2"/>
  <c r="G741" i="2"/>
  <c r="G555" i="2"/>
  <c r="G543" i="2"/>
  <c r="G536" i="2"/>
  <c r="G523" i="2"/>
  <c r="G512" i="2"/>
  <c r="G499" i="2"/>
  <c r="G488" i="2"/>
  <c r="G475" i="2"/>
  <c r="G464" i="2"/>
  <c r="G451" i="2"/>
  <c r="G440" i="2"/>
  <c r="G427" i="2"/>
  <c r="G1342" i="2"/>
  <c r="G1271" i="2"/>
  <c r="G1227" i="2"/>
  <c r="G778" i="2"/>
  <c r="G713" i="2"/>
  <c r="G705" i="2"/>
  <c r="G697" i="2"/>
  <c r="G689" i="2"/>
  <c r="G681" i="2"/>
  <c r="G673" i="2"/>
  <c r="G665" i="2"/>
  <c r="G657" i="2"/>
  <c r="G649" i="2"/>
  <c r="G641" i="2"/>
  <c r="G633" i="2"/>
  <c r="G625" i="2"/>
  <c r="G617" i="2"/>
  <c r="G609" i="2"/>
  <c r="G601" i="2"/>
  <c r="G593" i="2"/>
  <c r="G585" i="2"/>
  <c r="G577" i="2"/>
  <c r="G569" i="2"/>
  <c r="G559" i="2"/>
  <c r="G547" i="2"/>
  <c r="G531" i="2"/>
  <c r="G520" i="2"/>
  <c r="G507" i="2"/>
  <c r="G496" i="2"/>
  <c r="G483" i="2"/>
  <c r="G472" i="2"/>
  <c r="G459" i="2"/>
  <c r="G448" i="2"/>
  <c r="G1143" i="2"/>
  <c r="G1065" i="2"/>
  <c r="G1032" i="2"/>
  <c r="G1021" i="2"/>
  <c r="G1000" i="2"/>
  <c r="G989" i="2"/>
  <c r="G968" i="2"/>
  <c r="G957" i="2"/>
  <c r="G936" i="2"/>
  <c r="G925" i="2"/>
  <c r="G904" i="2"/>
  <c r="G893" i="2"/>
  <c r="G872" i="2"/>
  <c r="G861" i="2"/>
  <c r="G840" i="2"/>
  <c r="G830" i="2"/>
  <c r="G747" i="2"/>
  <c r="G533" i="2"/>
  <c r="G522" i="2"/>
  <c r="G509" i="2"/>
  <c r="G498" i="2"/>
  <c r="G485" i="2"/>
  <c r="G474" i="2"/>
  <c r="G461" i="2"/>
  <c r="G450" i="2"/>
  <c r="G437" i="2"/>
  <c r="G1283" i="2"/>
  <c r="G794" i="2"/>
  <c r="G759" i="2"/>
  <c r="G687" i="2"/>
  <c r="G655" i="2"/>
  <c r="G623" i="2"/>
  <c r="G591" i="2"/>
  <c r="G514" i="2"/>
  <c r="G453" i="2"/>
  <c r="G414" i="2"/>
  <c r="G279" i="2"/>
  <c r="G268" i="2"/>
  <c r="G255" i="2"/>
  <c r="G244" i="2"/>
  <c r="G231" i="2"/>
  <c r="G220" i="2"/>
  <c r="G207" i="2"/>
  <c r="G196" i="2"/>
  <c r="G183" i="2"/>
  <c r="G172" i="2"/>
  <c r="G159" i="2"/>
  <c r="G148" i="2"/>
  <c r="G135" i="2"/>
  <c r="G124" i="2"/>
  <c r="G111" i="2"/>
  <c r="G100" i="2"/>
  <c r="G98" i="2"/>
  <c r="G96" i="2"/>
  <c r="G94" i="2"/>
  <c r="G92" i="2"/>
  <c r="G90" i="2"/>
  <c r="G88" i="2"/>
  <c r="G86" i="2"/>
  <c r="G84" i="2"/>
  <c r="G992" i="2"/>
  <c r="G949" i="2"/>
  <c r="G864" i="2"/>
  <c r="G774" i="2"/>
  <c r="G479" i="2"/>
  <c r="G444" i="2"/>
  <c r="G302" i="2"/>
  <c r="G295" i="2"/>
  <c r="G290" i="2"/>
  <c r="G281" i="2"/>
  <c r="G270" i="2"/>
  <c r="G257" i="2"/>
  <c r="G246" i="2"/>
  <c r="G233" i="2"/>
  <c r="G222" i="2"/>
  <c r="G209" i="2"/>
  <c r="G198" i="2"/>
  <c r="G185" i="2"/>
  <c r="G174" i="2"/>
  <c r="G161" i="2"/>
  <c r="G150" i="2"/>
  <c r="G137" i="2"/>
  <c r="G126" i="2"/>
  <c r="G113" i="2"/>
  <c r="G102" i="2"/>
  <c r="G731" i="2"/>
  <c r="G719" i="2"/>
  <c r="G505" i="2"/>
  <c r="G470" i="2"/>
  <c r="G411" i="2"/>
  <c r="G408" i="2"/>
  <c r="G403" i="2"/>
  <c r="G400" i="2"/>
  <c r="G395" i="2"/>
  <c r="G392" i="2"/>
  <c r="G387" i="2"/>
  <c r="G384" i="2"/>
  <c r="G379" i="2"/>
  <c r="G376" i="2"/>
  <c r="G371" i="2"/>
  <c r="G368" i="2"/>
  <c r="G363" i="2"/>
  <c r="G360" i="2"/>
  <c r="G355" i="2"/>
  <c r="G352" i="2"/>
  <c r="G347" i="2"/>
  <c r="G344" i="2"/>
  <c r="G339" i="2"/>
  <c r="G336" i="2"/>
  <c r="G331" i="2"/>
  <c r="G328" i="2"/>
  <c r="G323" i="2"/>
  <c r="G320" i="2"/>
  <c r="G315" i="2"/>
  <c r="G312" i="2"/>
  <c r="G307" i="2"/>
  <c r="G283" i="2"/>
  <c r="G272" i="2"/>
  <c r="G259" i="2"/>
  <c r="G248" i="2"/>
  <c r="G235" i="2"/>
  <c r="G224" i="2"/>
  <c r="G211" i="2"/>
  <c r="G200" i="2"/>
  <c r="G187" i="2"/>
  <c r="G176" i="2"/>
  <c r="G163" i="2"/>
  <c r="G152" i="2"/>
  <c r="G139" i="2"/>
  <c r="G128" i="2"/>
  <c r="G115" i="2"/>
  <c r="G104" i="2"/>
  <c r="G695" i="2"/>
  <c r="G663" i="2"/>
  <c r="G631" i="2"/>
  <c r="G599" i="2"/>
  <c r="G567" i="2"/>
  <c r="G538" i="2"/>
  <c r="G477" i="2"/>
  <c r="G442" i="2"/>
  <c r="G424" i="2"/>
  <c r="G420" i="2"/>
  <c r="G304" i="2"/>
  <c r="G297" i="2"/>
  <c r="G292" i="2"/>
  <c r="G285" i="2"/>
  <c r="G274" i="2"/>
  <c r="G261" i="2"/>
  <c r="G250" i="2"/>
  <c r="G237" i="2"/>
  <c r="G226" i="2"/>
  <c r="G213" i="2"/>
  <c r="G202" i="2"/>
  <c r="G189" i="2"/>
  <c r="G178" i="2"/>
  <c r="G165" i="2"/>
  <c r="G154" i="2"/>
  <c r="G141" i="2"/>
  <c r="G130" i="2"/>
  <c r="G117" i="2"/>
  <c r="G106" i="2"/>
  <c r="G1024" i="2"/>
  <c r="G981" i="2"/>
  <c r="G896" i="2"/>
  <c r="G853" i="2"/>
  <c r="G789" i="2"/>
  <c r="G770" i="2"/>
  <c r="G755" i="2"/>
  <c r="G557" i="2"/>
  <c r="G503" i="2"/>
  <c r="G468" i="2"/>
  <c r="G435" i="2"/>
  <c r="G431" i="2"/>
  <c r="G276" i="2"/>
  <c r="G263" i="2"/>
  <c r="G252" i="2"/>
  <c r="G239" i="2"/>
  <c r="G228" i="2"/>
  <c r="G215" i="2"/>
  <c r="G204" i="2"/>
  <c r="G191" i="2"/>
  <c r="G180" i="2"/>
  <c r="G167" i="2"/>
  <c r="G156" i="2"/>
  <c r="G143" i="2"/>
  <c r="G132" i="2"/>
  <c r="G119" i="2"/>
  <c r="G108" i="2"/>
  <c r="G529" i="2"/>
  <c r="G494" i="2"/>
  <c r="G416" i="2"/>
  <c r="G413" i="2"/>
  <c r="G410" i="2"/>
  <c r="G405" i="2"/>
  <c r="G402" i="2"/>
  <c r="G397" i="2"/>
  <c r="G394" i="2"/>
  <c r="G389" i="2"/>
  <c r="G386" i="2"/>
  <c r="G381" i="2"/>
  <c r="G378" i="2"/>
  <c r="G373" i="2"/>
  <c r="G370" i="2"/>
  <c r="G365" i="2"/>
  <c r="G362" i="2"/>
  <c r="G357" i="2"/>
  <c r="G354" i="2"/>
  <c r="G349" i="2"/>
  <c r="G346" i="2"/>
  <c r="G341" i="2"/>
  <c r="G338" i="2"/>
  <c r="G333" i="2"/>
  <c r="G330" i="2"/>
  <c r="G325" i="2"/>
  <c r="G322" i="2"/>
  <c r="G317" i="2"/>
  <c r="G314" i="2"/>
  <c r="G309" i="2"/>
  <c r="G306" i="2"/>
  <c r="G299" i="2"/>
  <c r="G294" i="2"/>
  <c r="G287" i="2"/>
  <c r="G278" i="2"/>
  <c r="G265" i="2"/>
  <c r="G254" i="2"/>
  <c r="G241" i="2"/>
  <c r="G230" i="2"/>
  <c r="G217" i="2"/>
  <c r="G206" i="2"/>
  <c r="G193" i="2"/>
  <c r="G182" i="2"/>
  <c r="G169" i="2"/>
  <c r="G158" i="2"/>
  <c r="G145" i="2"/>
  <c r="G134" i="2"/>
  <c r="G121" i="2"/>
  <c r="G110" i="2"/>
  <c r="G1874" i="2"/>
  <c r="G1195" i="2"/>
  <c r="G767" i="2"/>
  <c r="G752" i="2"/>
  <c r="G703" i="2"/>
  <c r="G671" i="2"/>
  <c r="G639" i="2"/>
  <c r="G607" i="2"/>
  <c r="G575" i="2"/>
  <c r="G501" i="2"/>
  <c r="G466" i="2"/>
  <c r="G280" i="2"/>
  <c r="G267" i="2"/>
  <c r="G256" i="2"/>
  <c r="G243" i="2"/>
  <c r="G232" i="2"/>
  <c r="G219" i="2"/>
  <c r="G208" i="2"/>
  <c r="G195" i="2"/>
  <c r="G184" i="2"/>
  <c r="G171" i="2"/>
  <c r="G160" i="2"/>
  <c r="G147" i="2"/>
  <c r="G136" i="2"/>
  <c r="G123" i="2"/>
  <c r="G112" i="2"/>
  <c r="G99" i="2"/>
  <c r="G97" i="2"/>
  <c r="G95" i="2"/>
  <c r="G93" i="2"/>
  <c r="G91" i="2"/>
  <c r="G89" i="2"/>
  <c r="G87" i="2"/>
  <c r="G85" i="2"/>
  <c r="G83" i="2"/>
  <c r="G81" i="2"/>
  <c r="G79" i="2"/>
  <c r="G77" i="2"/>
  <c r="G75" i="2"/>
  <c r="G73" i="2"/>
  <c r="G71" i="2"/>
  <c r="G69" i="2"/>
  <c r="G67" i="2"/>
  <c r="G65" i="2"/>
  <c r="G63" i="2"/>
  <c r="G61" i="2"/>
  <c r="G59" i="2"/>
  <c r="G57" i="2"/>
  <c r="G55" i="2"/>
  <c r="G53" i="2"/>
  <c r="G51" i="2"/>
  <c r="G49" i="2"/>
  <c r="G47" i="2"/>
  <c r="G45" i="2"/>
  <c r="G43" i="2"/>
  <c r="G41" i="2"/>
  <c r="G39" i="2"/>
  <c r="G37" i="2"/>
  <c r="G35" i="2"/>
  <c r="G33" i="2"/>
  <c r="G31" i="2"/>
  <c r="G29" i="2"/>
  <c r="G27" i="2"/>
  <c r="G25" i="2"/>
  <c r="G960" i="2"/>
  <c r="G917" i="2"/>
  <c r="G516" i="2"/>
  <c r="G455" i="2"/>
  <c r="G433" i="2"/>
  <c r="G429" i="2"/>
  <c r="G418" i="2"/>
  <c r="G275" i="2"/>
  <c r="G264" i="2"/>
  <c r="G251" i="2"/>
  <c r="G240" i="2"/>
  <c r="G227" i="2"/>
  <c r="G216" i="2"/>
  <c r="G203" i="2"/>
  <c r="G192" i="2"/>
  <c r="G179" i="2"/>
  <c r="G168" i="2"/>
  <c r="G155" i="2"/>
  <c r="G144" i="2"/>
  <c r="G131" i="2"/>
  <c r="G1145" i="2"/>
  <c r="G481" i="2"/>
  <c r="G446" i="2"/>
  <c r="G425" i="2"/>
  <c r="G409" i="2"/>
  <c r="G406" i="2"/>
  <c r="G401" i="2"/>
  <c r="G398" i="2"/>
  <c r="G393" i="2"/>
  <c r="G390" i="2"/>
  <c r="G385" i="2"/>
  <c r="G382" i="2"/>
  <c r="G377" i="2"/>
  <c r="G374" i="2"/>
  <c r="G369" i="2"/>
  <c r="G366" i="2"/>
  <c r="G361" i="2"/>
  <c r="G358" i="2"/>
  <c r="G353" i="2"/>
  <c r="G350" i="2"/>
  <c r="G345" i="2"/>
  <c r="G342" i="2"/>
  <c r="G337" i="2"/>
  <c r="G334" i="2"/>
  <c r="G329" i="2"/>
  <c r="G326" i="2"/>
  <c r="G321" i="2"/>
  <c r="G318" i="2"/>
  <c r="G313" i="2"/>
  <c r="G310" i="2"/>
  <c r="G305" i="2"/>
  <c r="G300" i="2"/>
  <c r="G293" i="2"/>
  <c r="G288" i="2"/>
  <c r="G277" i="2"/>
  <c r="G266" i="2"/>
  <c r="G253" i="2"/>
  <c r="G242" i="2"/>
  <c r="G229" i="2"/>
  <c r="G218" i="2"/>
  <c r="G205" i="2"/>
  <c r="G194" i="2"/>
  <c r="G181" i="2"/>
  <c r="G170" i="2"/>
  <c r="G157" i="2"/>
  <c r="G146" i="2"/>
  <c r="G133" i="2"/>
  <c r="G166" i="2"/>
  <c r="G109" i="2"/>
  <c r="G236" i="2"/>
  <c r="G319" i="2"/>
  <c r="G340" i="2"/>
  <c r="G383" i="2"/>
  <c r="G404" i="2"/>
  <c r="G430" i="2"/>
  <c r="G737" i="2"/>
  <c r="G34" i="2"/>
  <c r="G50" i="2"/>
  <c r="G66" i="2"/>
  <c r="G82" i="2"/>
  <c r="G289" i="2"/>
  <c r="G492" i="2"/>
  <c r="G30" i="2"/>
  <c r="G38" i="2"/>
  <c r="G46" i="2"/>
  <c r="G54" i="2"/>
  <c r="G62" i="2"/>
  <c r="G70" i="2"/>
  <c r="G78" i="2"/>
  <c r="G162" i="2"/>
  <c r="G197" i="2"/>
  <c r="G258" i="2"/>
  <c r="G545" i="2"/>
  <c r="G885" i="2"/>
  <c r="G1071" i="2"/>
  <c r="A234" i="2" l="1"/>
  <c r="E36" i="2"/>
  <c r="A36" i="2"/>
  <c r="A118" i="2"/>
  <c r="B269" i="2"/>
  <c r="E138" i="2"/>
  <c r="E783" i="2"/>
  <c r="A296" i="2"/>
  <c r="A76" i="2"/>
  <c r="B52" i="2"/>
  <c r="B928" i="2"/>
  <c r="B173" i="2"/>
  <c r="E928" i="2"/>
  <c r="B36" i="2"/>
  <c r="A44" i="2"/>
  <c r="E60" i="2"/>
  <c r="A60" i="2"/>
  <c r="B60" i="2"/>
  <c r="B28" i="2"/>
  <c r="B44" i="2"/>
  <c r="A269" i="2"/>
  <c r="A52" i="2"/>
  <c r="B783" i="2"/>
  <c r="E52" i="2"/>
  <c r="A783" i="2"/>
  <c r="A928" i="2"/>
  <c r="A68" i="2"/>
  <c r="B68" i="2"/>
  <c r="F269" i="2"/>
  <c r="H269" i="2" s="1"/>
  <c r="B296" i="2"/>
  <c r="A138" i="2"/>
  <c r="E296" i="2"/>
  <c r="B138" i="2"/>
  <c r="E68" i="2"/>
  <c r="F410" i="2"/>
  <c r="H410" i="2" s="1"/>
  <c r="E410" i="2"/>
  <c r="B410" i="2"/>
  <c r="A410" i="2"/>
  <c r="F247" i="2"/>
  <c r="H247" i="2" s="1"/>
  <c r="B247" i="2"/>
  <c r="A247" i="2"/>
  <c r="E247" i="2"/>
  <c r="F277" i="2"/>
  <c r="H277" i="2" s="1"/>
  <c r="E277" i="2"/>
  <c r="B277" i="2"/>
  <c r="A277" i="2"/>
  <c r="B162" i="2"/>
  <c r="A162" i="2"/>
  <c r="F162" i="2"/>
  <c r="H162" i="2" s="1"/>
  <c r="E162" i="2"/>
  <c r="B54" i="2"/>
  <c r="A54" i="2"/>
  <c r="F54" i="2"/>
  <c r="H54" i="2" s="1"/>
  <c r="E54" i="2"/>
  <c r="A404" i="2"/>
  <c r="E404" i="2"/>
  <c r="B404" i="2"/>
  <c r="F404" i="2"/>
  <c r="H404" i="2" s="1"/>
  <c r="F194" i="2"/>
  <c r="H194" i="2" s="1"/>
  <c r="E194" i="2"/>
  <c r="B194" i="2"/>
  <c r="A194" i="2"/>
  <c r="F310" i="2"/>
  <c r="H310" i="2" s="1"/>
  <c r="E310" i="2"/>
  <c r="B310" i="2"/>
  <c r="A310" i="2"/>
  <c r="F358" i="2"/>
  <c r="H358" i="2" s="1"/>
  <c r="E358" i="2"/>
  <c r="B358" i="2"/>
  <c r="A358" i="2"/>
  <c r="F406" i="2"/>
  <c r="H406" i="2" s="1"/>
  <c r="E406" i="2"/>
  <c r="B406" i="2"/>
  <c r="A406" i="2"/>
  <c r="F203" i="2"/>
  <c r="H203" i="2" s="1"/>
  <c r="B203" i="2"/>
  <c r="A203" i="2"/>
  <c r="E203" i="2"/>
  <c r="B917" i="2"/>
  <c r="A917" i="2"/>
  <c r="F917" i="2"/>
  <c r="H917" i="2" s="1"/>
  <c r="E917" i="2"/>
  <c r="B45" i="2"/>
  <c r="A45" i="2"/>
  <c r="F45" i="2"/>
  <c r="H45" i="2" s="1"/>
  <c r="E45" i="2"/>
  <c r="B69" i="2"/>
  <c r="A69" i="2"/>
  <c r="F69" i="2"/>
  <c r="H69" i="2" s="1"/>
  <c r="E69" i="2"/>
  <c r="F93" i="2"/>
  <c r="H93" i="2" s="1"/>
  <c r="E93" i="2"/>
  <c r="B93" i="2"/>
  <c r="A93" i="2"/>
  <c r="A208" i="2"/>
  <c r="F208" i="2"/>
  <c r="H208" i="2" s="1"/>
  <c r="E208" i="2"/>
  <c r="B208" i="2"/>
  <c r="B671" i="2"/>
  <c r="A671" i="2"/>
  <c r="F671" i="2"/>
  <c r="H671" i="2" s="1"/>
  <c r="E671" i="2"/>
  <c r="F182" i="2"/>
  <c r="H182" i="2" s="1"/>
  <c r="E182" i="2"/>
  <c r="B182" i="2"/>
  <c r="A182" i="2"/>
  <c r="F306" i="2"/>
  <c r="H306" i="2" s="1"/>
  <c r="E306" i="2"/>
  <c r="B306" i="2"/>
  <c r="A306" i="2"/>
  <c r="F354" i="2"/>
  <c r="H354" i="2" s="1"/>
  <c r="E354" i="2"/>
  <c r="B354" i="2"/>
  <c r="A354" i="2"/>
  <c r="F402" i="2"/>
  <c r="H402" i="2" s="1"/>
  <c r="E402" i="2"/>
  <c r="B402" i="2"/>
  <c r="A402" i="2"/>
  <c r="F167" i="2"/>
  <c r="H167" i="2" s="1"/>
  <c r="E167" i="2"/>
  <c r="B167" i="2"/>
  <c r="A167" i="2"/>
  <c r="A468" i="2"/>
  <c r="E468" i="2"/>
  <c r="B468" i="2"/>
  <c r="F468" i="2"/>
  <c r="H468" i="2" s="1"/>
  <c r="F130" i="2"/>
  <c r="H130" i="2" s="1"/>
  <c r="E130" i="2"/>
  <c r="B130" i="2"/>
  <c r="A130" i="2"/>
  <c r="F274" i="2"/>
  <c r="H274" i="2" s="1"/>
  <c r="E274" i="2"/>
  <c r="B274" i="2"/>
  <c r="A274" i="2"/>
  <c r="B631" i="2"/>
  <c r="A631" i="2"/>
  <c r="F631" i="2"/>
  <c r="H631" i="2" s="1"/>
  <c r="E631" i="2"/>
  <c r="F211" i="2"/>
  <c r="H211" i="2" s="1"/>
  <c r="E211" i="2"/>
  <c r="B211" i="2"/>
  <c r="A211" i="2"/>
  <c r="F328" i="2"/>
  <c r="H328" i="2" s="1"/>
  <c r="E328" i="2"/>
  <c r="B328" i="2"/>
  <c r="A328" i="2"/>
  <c r="F376" i="2"/>
  <c r="H376" i="2" s="1"/>
  <c r="E376" i="2"/>
  <c r="B376" i="2"/>
  <c r="A376" i="2"/>
  <c r="A719" i="2"/>
  <c r="B719" i="2"/>
  <c r="F719" i="2"/>
  <c r="H719" i="2" s="1"/>
  <c r="E719" i="2"/>
  <c r="F222" i="2"/>
  <c r="H222" i="2" s="1"/>
  <c r="E222" i="2"/>
  <c r="B222" i="2"/>
  <c r="A222" i="2"/>
  <c r="E864" i="2"/>
  <c r="B864" i="2"/>
  <c r="F864" i="2"/>
  <c r="H864" i="2" s="1"/>
  <c r="A864" i="2"/>
  <c r="F111" i="2"/>
  <c r="H111" i="2" s="1"/>
  <c r="E111" i="2"/>
  <c r="B111" i="2"/>
  <c r="A111" i="2"/>
  <c r="F255" i="2"/>
  <c r="H255" i="2" s="1"/>
  <c r="E255" i="2"/>
  <c r="B255" i="2"/>
  <c r="A255" i="2"/>
  <c r="B1283" i="2"/>
  <c r="A1283" i="2"/>
  <c r="F1283" i="2"/>
  <c r="H1283" i="2" s="1"/>
  <c r="E1283" i="2"/>
  <c r="E840" i="2"/>
  <c r="B840" i="2"/>
  <c r="F840" i="2"/>
  <c r="H840" i="2" s="1"/>
  <c r="A840" i="2"/>
  <c r="E1032" i="2"/>
  <c r="B1032" i="2"/>
  <c r="F1032" i="2"/>
  <c r="H1032" i="2" s="1"/>
  <c r="A1032" i="2"/>
  <c r="E559" i="2"/>
  <c r="B559" i="2"/>
  <c r="A559" i="2"/>
  <c r="F559" i="2"/>
  <c r="H559" i="2" s="1"/>
  <c r="E657" i="2"/>
  <c r="B657" i="2"/>
  <c r="A657" i="2"/>
  <c r="F657" i="2"/>
  <c r="H657" i="2" s="1"/>
  <c r="F427" i="2"/>
  <c r="H427" i="2" s="1"/>
  <c r="E427" i="2"/>
  <c r="B427" i="2"/>
  <c r="A427" i="2"/>
  <c r="E741" i="2"/>
  <c r="A741" i="2"/>
  <c r="F741" i="2"/>
  <c r="H741" i="2" s="1"/>
  <c r="B741" i="2"/>
  <c r="F521" i="2"/>
  <c r="H521" i="2" s="1"/>
  <c r="E521" i="2"/>
  <c r="B521" i="2"/>
  <c r="A521" i="2"/>
  <c r="B909" i="2"/>
  <c r="A909" i="2"/>
  <c r="F909" i="2"/>
  <c r="H909" i="2" s="1"/>
  <c r="E909" i="2"/>
  <c r="F447" i="2"/>
  <c r="H447" i="2" s="1"/>
  <c r="E447" i="2"/>
  <c r="A447" i="2"/>
  <c r="B447" i="2"/>
  <c r="F581" i="2"/>
  <c r="H581" i="2" s="1"/>
  <c r="E581" i="2"/>
  <c r="B581" i="2"/>
  <c r="A581" i="2"/>
  <c r="F677" i="2"/>
  <c r="H677" i="2" s="1"/>
  <c r="E677" i="2"/>
  <c r="B677" i="2"/>
  <c r="A677" i="2"/>
  <c r="F458" i="2"/>
  <c r="H458" i="2" s="1"/>
  <c r="E458" i="2"/>
  <c r="B458" i="2"/>
  <c r="A458" i="2"/>
  <c r="F417" i="2"/>
  <c r="H417" i="2" s="1"/>
  <c r="E417" i="2"/>
  <c r="A417" i="2"/>
  <c r="B417" i="2"/>
  <c r="F551" i="2"/>
  <c r="H551" i="2" s="1"/>
  <c r="E551" i="2"/>
  <c r="B551" i="2"/>
  <c r="A551" i="2"/>
  <c r="B933" i="2"/>
  <c r="A933" i="2"/>
  <c r="F933" i="2"/>
  <c r="H933" i="2" s="1"/>
  <c r="E933" i="2"/>
  <c r="F478" i="2"/>
  <c r="H478" i="2" s="1"/>
  <c r="E478" i="2"/>
  <c r="B478" i="2"/>
  <c r="A478" i="2"/>
  <c r="F619" i="2"/>
  <c r="H619" i="2" s="1"/>
  <c r="E619" i="2"/>
  <c r="B619" i="2"/>
  <c r="A619" i="2"/>
  <c r="F715" i="2"/>
  <c r="H715" i="2" s="1"/>
  <c r="E715" i="2"/>
  <c r="B715" i="2"/>
  <c r="A715" i="2"/>
  <c r="F439" i="2"/>
  <c r="H439" i="2" s="1"/>
  <c r="E439" i="2"/>
  <c r="B439" i="2"/>
  <c r="A439" i="2"/>
  <c r="E758" i="2"/>
  <c r="F758" i="2"/>
  <c r="H758" i="2" s="1"/>
  <c r="B758" i="2"/>
  <c r="A758" i="2"/>
  <c r="B1235" i="2"/>
  <c r="A1235" i="2"/>
  <c r="F1235" i="2"/>
  <c r="H1235" i="2" s="1"/>
  <c r="E1235" i="2"/>
  <c r="F781" i="2"/>
  <c r="H781" i="2" s="1"/>
  <c r="E781" i="2"/>
  <c r="B781" i="2"/>
  <c r="A781" i="2"/>
  <c r="A875" i="2"/>
  <c r="F875" i="2"/>
  <c r="H875" i="2" s="1"/>
  <c r="B875" i="2"/>
  <c r="E875" i="2"/>
  <c r="A923" i="2"/>
  <c r="F923" i="2"/>
  <c r="H923" i="2" s="1"/>
  <c r="E923" i="2"/>
  <c r="B923" i="2"/>
  <c r="A971" i="2"/>
  <c r="F971" i="2"/>
  <c r="H971" i="2" s="1"/>
  <c r="E971" i="2"/>
  <c r="B971" i="2"/>
  <c r="A1019" i="2"/>
  <c r="F1019" i="2"/>
  <c r="H1019" i="2" s="1"/>
  <c r="E1019" i="2"/>
  <c r="B1019" i="2"/>
  <c r="F821" i="2"/>
  <c r="H821" i="2" s="1"/>
  <c r="B821" i="2"/>
  <c r="A821" i="2"/>
  <c r="E821" i="2"/>
  <c r="A1349" i="2"/>
  <c r="E1349" i="2"/>
  <c r="F1349" i="2"/>
  <c r="H1349" i="2" s="1"/>
  <c r="B1349" i="2"/>
  <c r="F560" i="2"/>
  <c r="H560" i="2" s="1"/>
  <c r="E560" i="2"/>
  <c r="B560" i="2"/>
  <c r="A560" i="2"/>
  <c r="E584" i="2"/>
  <c r="F584" i="2"/>
  <c r="H584" i="2" s="1"/>
  <c r="B584" i="2"/>
  <c r="A584" i="2"/>
  <c r="E608" i="2"/>
  <c r="F608" i="2"/>
  <c r="H608" i="2" s="1"/>
  <c r="B608" i="2"/>
  <c r="A608" i="2"/>
  <c r="E632" i="2"/>
  <c r="F632" i="2"/>
  <c r="H632" i="2" s="1"/>
  <c r="B632" i="2"/>
  <c r="A632" i="2"/>
  <c r="E656" i="2"/>
  <c r="F656" i="2"/>
  <c r="H656" i="2" s="1"/>
  <c r="B656" i="2"/>
  <c r="A656" i="2"/>
  <c r="E680" i="2"/>
  <c r="F680" i="2"/>
  <c r="H680" i="2" s="1"/>
  <c r="B680" i="2"/>
  <c r="A680" i="2"/>
  <c r="E704" i="2"/>
  <c r="F704" i="2"/>
  <c r="H704" i="2" s="1"/>
  <c r="B704" i="2"/>
  <c r="A704" i="2"/>
  <c r="E728" i="2"/>
  <c r="B728" i="2"/>
  <c r="A728" i="2"/>
  <c r="F728" i="2"/>
  <c r="H728" i="2" s="1"/>
  <c r="E812" i="2"/>
  <c r="F812" i="2"/>
  <c r="H812" i="2" s="1"/>
  <c r="B812" i="2"/>
  <c r="A812" i="2"/>
  <c r="E824" i="2"/>
  <c r="B824" i="2"/>
  <c r="F824" i="2"/>
  <c r="H824" i="2" s="1"/>
  <c r="A824" i="2"/>
  <c r="E876" i="2"/>
  <c r="B876" i="2"/>
  <c r="F876" i="2"/>
  <c r="H876" i="2" s="1"/>
  <c r="A876" i="2"/>
  <c r="E924" i="2"/>
  <c r="B924" i="2"/>
  <c r="F924" i="2"/>
  <c r="H924" i="2" s="1"/>
  <c r="A924" i="2"/>
  <c r="E972" i="2"/>
  <c r="B972" i="2"/>
  <c r="F972" i="2"/>
  <c r="H972" i="2" s="1"/>
  <c r="A972" i="2"/>
  <c r="E1020" i="2"/>
  <c r="B1020" i="2"/>
  <c r="F1020" i="2"/>
  <c r="H1020" i="2" s="1"/>
  <c r="A1020" i="2"/>
  <c r="A1121" i="2"/>
  <c r="E1121" i="2"/>
  <c r="F1121" i="2"/>
  <c r="H1121" i="2" s="1"/>
  <c r="B1121" i="2"/>
  <c r="E822" i="2"/>
  <c r="B822" i="2"/>
  <c r="F822" i="2"/>
  <c r="H822" i="2" s="1"/>
  <c r="A822" i="2"/>
  <c r="E756" i="2"/>
  <c r="B756" i="2"/>
  <c r="A756" i="2"/>
  <c r="F756" i="2"/>
  <c r="H756" i="2" s="1"/>
  <c r="E866" i="2"/>
  <c r="B866" i="2"/>
  <c r="F866" i="2"/>
  <c r="H866" i="2" s="1"/>
  <c r="A866" i="2"/>
  <c r="E914" i="2"/>
  <c r="B914" i="2"/>
  <c r="F914" i="2"/>
  <c r="H914" i="2" s="1"/>
  <c r="A914" i="2"/>
  <c r="E962" i="2"/>
  <c r="B962" i="2"/>
  <c r="F962" i="2"/>
  <c r="H962" i="2" s="1"/>
  <c r="A962" i="2"/>
  <c r="E1010" i="2"/>
  <c r="B1010" i="2"/>
  <c r="F1010" i="2"/>
  <c r="H1010" i="2" s="1"/>
  <c r="A1010" i="2"/>
  <c r="E1645" i="2"/>
  <c r="B1645" i="2"/>
  <c r="A1645" i="2"/>
  <c r="F1645" i="2"/>
  <c r="H1645" i="2" s="1"/>
  <c r="A1117" i="2"/>
  <c r="E1117" i="2"/>
  <c r="B1117" i="2"/>
  <c r="F1117" i="2"/>
  <c r="H1117" i="2" s="1"/>
  <c r="A1241" i="2"/>
  <c r="F1241" i="2"/>
  <c r="H1241" i="2" s="1"/>
  <c r="E1241" i="2"/>
  <c r="B1241" i="2"/>
  <c r="F1275" i="2"/>
  <c r="H1275" i="2" s="1"/>
  <c r="E1275" i="2"/>
  <c r="B1275" i="2"/>
  <c r="A1275" i="2"/>
  <c r="F1089" i="2"/>
  <c r="H1089" i="2" s="1"/>
  <c r="E1089" i="2"/>
  <c r="B1089" i="2"/>
  <c r="A1089" i="2"/>
  <c r="F1135" i="2"/>
  <c r="H1135" i="2" s="1"/>
  <c r="E1135" i="2"/>
  <c r="B1135" i="2"/>
  <c r="A1135" i="2"/>
  <c r="B1297" i="2"/>
  <c r="A1297" i="2"/>
  <c r="F1297" i="2"/>
  <c r="H1297" i="2" s="1"/>
  <c r="E1297" i="2"/>
  <c r="B1373" i="2"/>
  <c r="A1373" i="2"/>
  <c r="F1373" i="2"/>
  <c r="H1373" i="2" s="1"/>
  <c r="E1373" i="2"/>
  <c r="F1058" i="2"/>
  <c r="H1058" i="2" s="1"/>
  <c r="E1058" i="2"/>
  <c r="B1058" i="2"/>
  <c r="A1058" i="2"/>
  <c r="F1273" i="2"/>
  <c r="H1273" i="2" s="1"/>
  <c r="E1273" i="2"/>
  <c r="B1273" i="2"/>
  <c r="A1273" i="2"/>
  <c r="F1163" i="2"/>
  <c r="H1163" i="2" s="1"/>
  <c r="E1163" i="2"/>
  <c r="B1163" i="2"/>
  <c r="A1163" i="2"/>
  <c r="E1315" i="2"/>
  <c r="B1315" i="2"/>
  <c r="A1315" i="2"/>
  <c r="F1315" i="2"/>
  <c r="H1315" i="2" s="1"/>
  <c r="E1496" i="2"/>
  <c r="F1496" i="2"/>
  <c r="H1496" i="2" s="1"/>
  <c r="B1496" i="2"/>
  <c r="A1496" i="2"/>
  <c r="E1368" i="2"/>
  <c r="B1368" i="2"/>
  <c r="A1368" i="2"/>
  <c r="F1368" i="2"/>
  <c r="H1368" i="2" s="1"/>
  <c r="A1659" i="2"/>
  <c r="E1659" i="2"/>
  <c r="B1659" i="2"/>
  <c r="F1659" i="2"/>
  <c r="H1659" i="2" s="1"/>
  <c r="A1359" i="2"/>
  <c r="F1359" i="2"/>
  <c r="H1359" i="2" s="1"/>
  <c r="E1359" i="2"/>
  <c r="B1359" i="2"/>
  <c r="E1444" i="2"/>
  <c r="F1444" i="2"/>
  <c r="H1444" i="2" s="1"/>
  <c r="B1444" i="2"/>
  <c r="A1444" i="2"/>
  <c r="E1480" i="2"/>
  <c r="F1480" i="2"/>
  <c r="H1480" i="2" s="1"/>
  <c r="B1480" i="2"/>
  <c r="A1480" i="2"/>
  <c r="F1321" i="2"/>
  <c r="H1321" i="2" s="1"/>
  <c r="E1321" i="2"/>
  <c r="A1321" i="2"/>
  <c r="B1321" i="2"/>
  <c r="A1445" i="2"/>
  <c r="F1445" i="2"/>
  <c r="H1445" i="2" s="1"/>
  <c r="E1445" i="2"/>
  <c r="B1445" i="2"/>
  <c r="F1078" i="2"/>
  <c r="H1078" i="2" s="1"/>
  <c r="E1078" i="2"/>
  <c r="A1078" i="2"/>
  <c r="B1078" i="2"/>
  <c r="F1102" i="2"/>
  <c r="H1102" i="2" s="1"/>
  <c r="E1102" i="2"/>
  <c r="B1102" i="2"/>
  <c r="A1102" i="2"/>
  <c r="F1126" i="2"/>
  <c r="H1126" i="2" s="1"/>
  <c r="E1126" i="2"/>
  <c r="B1126" i="2"/>
  <c r="A1126" i="2"/>
  <c r="F1150" i="2"/>
  <c r="H1150" i="2" s="1"/>
  <c r="E1150" i="2"/>
  <c r="B1150" i="2"/>
  <c r="A1150" i="2"/>
  <c r="F1174" i="2"/>
  <c r="H1174" i="2" s="1"/>
  <c r="B1174" i="2"/>
  <c r="A1174" i="2"/>
  <c r="E1174" i="2"/>
  <c r="F1198" i="2"/>
  <c r="H1198" i="2" s="1"/>
  <c r="B1198" i="2"/>
  <c r="A1198" i="2"/>
  <c r="E1198" i="2"/>
  <c r="F1222" i="2"/>
  <c r="H1222" i="2" s="1"/>
  <c r="B1222" i="2"/>
  <c r="A1222" i="2"/>
  <c r="E1222" i="2"/>
  <c r="F1246" i="2"/>
  <c r="H1246" i="2" s="1"/>
  <c r="B1246" i="2"/>
  <c r="A1246" i="2"/>
  <c r="E1246" i="2"/>
  <c r="F1270" i="2"/>
  <c r="H1270" i="2" s="1"/>
  <c r="B1270" i="2"/>
  <c r="E1270" i="2"/>
  <c r="A1270" i="2"/>
  <c r="F1294" i="2"/>
  <c r="H1294" i="2" s="1"/>
  <c r="B1294" i="2"/>
  <c r="E1294" i="2"/>
  <c r="A1294" i="2"/>
  <c r="E1474" i="2"/>
  <c r="B1474" i="2"/>
  <c r="A1474" i="2"/>
  <c r="F1474" i="2"/>
  <c r="H1474" i="2" s="1"/>
  <c r="F1343" i="2"/>
  <c r="H1343" i="2" s="1"/>
  <c r="E1343" i="2"/>
  <c r="B1343" i="2"/>
  <c r="A1343" i="2"/>
  <c r="E1488" i="2"/>
  <c r="F1488" i="2"/>
  <c r="H1488" i="2" s="1"/>
  <c r="B1488" i="2"/>
  <c r="A1488" i="2"/>
  <c r="A1503" i="2"/>
  <c r="F1503" i="2"/>
  <c r="H1503" i="2" s="1"/>
  <c r="E1503" i="2"/>
  <c r="B1503" i="2"/>
  <c r="E1346" i="2"/>
  <c r="B1346" i="2"/>
  <c r="F1346" i="2"/>
  <c r="H1346" i="2" s="1"/>
  <c r="A1346" i="2"/>
  <c r="E1462" i="2"/>
  <c r="B1462" i="2"/>
  <c r="A1462" i="2"/>
  <c r="F1462" i="2"/>
  <c r="H1462" i="2" s="1"/>
  <c r="A1738" i="2"/>
  <c r="E1738" i="2"/>
  <c r="F1738" i="2"/>
  <c r="H1738" i="2" s="1"/>
  <c r="B1738" i="2"/>
  <c r="A1461" i="2"/>
  <c r="F1461" i="2"/>
  <c r="H1461" i="2" s="1"/>
  <c r="E1461" i="2"/>
  <c r="B1461" i="2"/>
  <c r="F1528" i="2"/>
  <c r="H1528" i="2" s="1"/>
  <c r="E1528" i="2"/>
  <c r="A1528" i="2"/>
  <c r="B1528" i="2"/>
  <c r="F1564" i="2"/>
  <c r="H1564" i="2" s="1"/>
  <c r="E1564" i="2"/>
  <c r="B1564" i="2"/>
  <c r="A1564" i="2"/>
  <c r="A1735" i="2"/>
  <c r="F1735" i="2"/>
  <c r="H1735" i="2" s="1"/>
  <c r="E1735" i="2"/>
  <c r="B1735" i="2"/>
  <c r="A1411" i="2"/>
  <c r="E1411" i="2"/>
  <c r="B1411" i="2"/>
  <c r="F1411" i="2"/>
  <c r="H1411" i="2" s="1"/>
  <c r="E1404" i="2"/>
  <c r="F1404" i="2"/>
  <c r="H1404" i="2" s="1"/>
  <c r="A1404" i="2"/>
  <c r="B1404" i="2"/>
  <c r="F1574" i="2"/>
  <c r="H1574" i="2" s="1"/>
  <c r="E1574" i="2"/>
  <c r="B1574" i="2"/>
  <c r="A1574" i="2"/>
  <c r="F1520" i="2"/>
  <c r="H1520" i="2" s="1"/>
  <c r="E1520" i="2"/>
  <c r="B1520" i="2"/>
  <c r="A1520" i="2"/>
  <c r="F1556" i="2"/>
  <c r="H1556" i="2" s="1"/>
  <c r="E1556" i="2"/>
  <c r="B1556" i="2"/>
  <c r="A1556" i="2"/>
  <c r="E1669" i="2"/>
  <c r="B1669" i="2"/>
  <c r="A1669" i="2"/>
  <c r="F1669" i="2"/>
  <c r="H1669" i="2" s="1"/>
  <c r="F1635" i="2"/>
  <c r="H1635" i="2" s="1"/>
  <c r="E1635" i="2"/>
  <c r="B1635" i="2"/>
  <c r="A1635" i="2"/>
  <c r="B1606" i="2"/>
  <c r="A1606" i="2"/>
  <c r="F1606" i="2"/>
  <c r="H1606" i="2" s="1"/>
  <c r="E1606" i="2"/>
  <c r="F1807" i="2"/>
  <c r="H1807" i="2" s="1"/>
  <c r="E1807" i="2"/>
  <c r="B1807" i="2"/>
  <c r="A1807" i="2"/>
  <c r="E1833" i="2"/>
  <c r="F1833" i="2"/>
  <c r="H1833" i="2" s="1"/>
  <c r="A1833" i="2"/>
  <c r="B1833" i="2"/>
  <c r="A1781" i="2"/>
  <c r="B1781" i="2"/>
  <c r="F1781" i="2"/>
  <c r="H1781" i="2" s="1"/>
  <c r="E1781" i="2"/>
  <c r="F1657" i="2"/>
  <c r="H1657" i="2" s="1"/>
  <c r="E1657" i="2"/>
  <c r="B1657" i="2"/>
  <c r="A1657" i="2"/>
  <c r="B2137" i="2"/>
  <c r="E2137" i="2"/>
  <c r="A2137" i="2"/>
  <c r="F2137" i="2"/>
  <c r="H2137" i="2" s="1"/>
  <c r="A1703" i="2"/>
  <c r="F1703" i="2"/>
  <c r="H1703" i="2" s="1"/>
  <c r="E1703" i="2"/>
  <c r="B1703" i="2"/>
  <c r="F1629" i="2"/>
  <c r="H1629" i="2" s="1"/>
  <c r="E1629" i="2"/>
  <c r="B1629" i="2"/>
  <c r="A1629" i="2"/>
  <c r="F1768" i="2"/>
  <c r="H1768" i="2" s="1"/>
  <c r="E1768" i="2"/>
  <c r="B1768" i="2"/>
  <c r="A1768" i="2"/>
  <c r="A1689" i="2"/>
  <c r="F1689" i="2"/>
  <c r="H1689" i="2" s="1"/>
  <c r="E1689" i="2"/>
  <c r="B1689" i="2"/>
  <c r="B2069" i="2"/>
  <c r="F2069" i="2"/>
  <c r="H2069" i="2" s="1"/>
  <c r="E2069" i="2"/>
  <c r="A2069" i="2"/>
  <c r="F1706" i="2"/>
  <c r="H1706" i="2" s="1"/>
  <c r="E1706" i="2"/>
  <c r="B1706" i="2"/>
  <c r="A1706" i="2"/>
  <c r="B2018" i="2"/>
  <c r="E2018" i="2"/>
  <c r="F2018" i="2"/>
  <c r="H2018" i="2" s="1"/>
  <c r="A2018" i="2"/>
  <c r="F1788" i="2"/>
  <c r="H1788" i="2" s="1"/>
  <c r="E1788" i="2"/>
  <c r="B1788" i="2"/>
  <c r="A1788" i="2"/>
  <c r="A1812" i="2"/>
  <c r="E1812" i="2"/>
  <c r="B1812" i="2"/>
  <c r="F1812" i="2"/>
  <c r="H1812" i="2" s="1"/>
  <c r="F1858" i="2"/>
  <c r="H1858" i="2" s="1"/>
  <c r="E1858" i="2"/>
  <c r="B1858" i="2"/>
  <c r="A1858" i="2"/>
  <c r="B2023" i="2"/>
  <c r="F2023" i="2"/>
  <c r="H2023" i="2" s="1"/>
  <c r="E2023" i="2"/>
  <c r="A2023" i="2"/>
  <c r="E2300" i="2"/>
  <c r="A2300" i="2"/>
  <c r="B2300" i="2"/>
  <c r="F2300" i="2"/>
  <c r="H2300" i="2" s="1"/>
  <c r="B2065" i="2"/>
  <c r="A2065" i="2"/>
  <c r="F2065" i="2"/>
  <c r="H2065" i="2" s="1"/>
  <c r="E2065" i="2"/>
  <c r="B2073" i="2"/>
  <c r="F2073" i="2"/>
  <c r="H2073" i="2" s="1"/>
  <c r="A2073" i="2"/>
  <c r="E2073" i="2"/>
  <c r="E2246" i="2"/>
  <c r="A2246" i="2"/>
  <c r="B2246" i="2"/>
  <c r="F2246" i="2"/>
  <c r="H2246" i="2" s="1"/>
  <c r="B2079" i="2"/>
  <c r="A2079" i="2"/>
  <c r="F2079" i="2"/>
  <c r="H2079" i="2" s="1"/>
  <c r="E2079" i="2"/>
  <c r="A2216" i="2"/>
  <c r="B2216" i="2"/>
  <c r="F2216" i="2"/>
  <c r="H2216" i="2" s="1"/>
  <c r="E2216" i="2"/>
  <c r="F2233" i="2"/>
  <c r="H2233" i="2" s="1"/>
  <c r="E2233" i="2"/>
  <c r="B2233" i="2"/>
  <c r="A2233" i="2"/>
  <c r="B2060" i="2"/>
  <c r="F2060" i="2"/>
  <c r="H2060" i="2" s="1"/>
  <c r="E2060" i="2"/>
  <c r="A2060" i="2"/>
  <c r="B2104" i="2"/>
  <c r="E2104" i="2"/>
  <c r="F2104" i="2"/>
  <c r="H2104" i="2" s="1"/>
  <c r="A2104" i="2"/>
  <c r="F1880" i="2"/>
  <c r="H1880" i="2" s="1"/>
  <c r="E1880" i="2"/>
  <c r="A1880" i="2"/>
  <c r="B1880" i="2"/>
  <c r="F1904" i="2"/>
  <c r="H1904" i="2" s="1"/>
  <c r="E1904" i="2"/>
  <c r="B1904" i="2"/>
  <c r="A1904" i="2"/>
  <c r="F1928" i="2"/>
  <c r="H1928" i="2" s="1"/>
  <c r="E1928" i="2"/>
  <c r="B1928" i="2"/>
  <c r="A1928" i="2"/>
  <c r="B1952" i="2"/>
  <c r="A1952" i="2"/>
  <c r="F1952" i="2"/>
  <c r="H1952" i="2" s="1"/>
  <c r="E1952" i="2"/>
  <c r="B1976" i="2"/>
  <c r="F1976" i="2"/>
  <c r="H1976" i="2" s="1"/>
  <c r="E1976" i="2"/>
  <c r="A1976" i="2"/>
  <c r="B2000" i="2"/>
  <c r="F2000" i="2"/>
  <c r="H2000" i="2" s="1"/>
  <c r="E2000" i="2"/>
  <c r="A2000" i="2"/>
  <c r="B2107" i="2"/>
  <c r="E2107" i="2"/>
  <c r="F2107" i="2"/>
  <c r="H2107" i="2" s="1"/>
  <c r="A2107" i="2"/>
  <c r="A2168" i="2"/>
  <c r="B2168" i="2"/>
  <c r="F2168" i="2"/>
  <c r="H2168" i="2" s="1"/>
  <c r="E2168" i="2"/>
  <c r="A2151" i="2"/>
  <c r="F2151" i="2"/>
  <c r="H2151" i="2" s="1"/>
  <c r="E2151" i="2"/>
  <c r="B2151" i="2"/>
  <c r="B2368" i="2"/>
  <c r="F2368" i="2"/>
  <c r="H2368" i="2" s="1"/>
  <c r="E2368" i="2"/>
  <c r="A2368" i="2"/>
  <c r="A2196" i="2"/>
  <c r="B2196" i="2"/>
  <c r="F2196" i="2"/>
  <c r="H2196" i="2" s="1"/>
  <c r="E2196" i="2"/>
  <c r="A2158" i="2"/>
  <c r="F2158" i="2"/>
  <c r="H2158" i="2" s="1"/>
  <c r="E2158" i="2"/>
  <c r="B2158" i="2"/>
  <c r="A1885" i="2"/>
  <c r="F1885" i="2"/>
  <c r="H1885" i="2" s="1"/>
  <c r="E1885" i="2"/>
  <c r="B1885" i="2"/>
  <c r="F1909" i="2"/>
  <c r="H1909" i="2" s="1"/>
  <c r="E1909" i="2"/>
  <c r="B1909" i="2"/>
  <c r="A1909" i="2"/>
  <c r="F1933" i="2"/>
  <c r="H1933" i="2" s="1"/>
  <c r="A1933" i="2"/>
  <c r="E1933" i="2"/>
  <c r="B1933" i="2"/>
  <c r="F1957" i="2"/>
  <c r="H1957" i="2" s="1"/>
  <c r="E1957" i="2"/>
  <c r="B1957" i="2"/>
  <c r="A1957" i="2"/>
  <c r="F1981" i="2"/>
  <c r="H1981" i="2" s="1"/>
  <c r="A1981" i="2"/>
  <c r="E1981" i="2"/>
  <c r="B1981" i="2"/>
  <c r="F2005" i="2"/>
  <c r="H2005" i="2" s="1"/>
  <c r="A2005" i="2"/>
  <c r="E2005" i="2"/>
  <c r="B2005" i="2"/>
  <c r="E2155" i="2"/>
  <c r="F2155" i="2"/>
  <c r="H2155" i="2" s="1"/>
  <c r="B2155" i="2"/>
  <c r="A2155" i="2"/>
  <c r="E2398" i="2"/>
  <c r="A2398" i="2"/>
  <c r="F2398" i="2"/>
  <c r="H2398" i="2" s="1"/>
  <c r="B2398" i="2"/>
  <c r="A2156" i="2"/>
  <c r="F2156" i="2"/>
  <c r="H2156" i="2" s="1"/>
  <c r="E2156" i="2"/>
  <c r="B2156" i="2"/>
  <c r="A2699" i="2"/>
  <c r="F2699" i="2"/>
  <c r="H2699" i="2" s="1"/>
  <c r="B2699" i="2"/>
  <c r="E2699" i="2"/>
  <c r="E2248" i="2"/>
  <c r="F2248" i="2"/>
  <c r="H2248" i="2" s="1"/>
  <c r="B2248" i="2"/>
  <c r="A2248" i="2"/>
  <c r="E2266" i="2"/>
  <c r="F2266" i="2"/>
  <c r="H2266" i="2" s="1"/>
  <c r="A2266" i="2"/>
  <c r="B2266" i="2"/>
  <c r="E2290" i="2"/>
  <c r="A2290" i="2"/>
  <c r="F2290" i="2"/>
  <c r="H2290" i="2" s="1"/>
  <c r="B2290" i="2"/>
  <c r="F2317" i="2"/>
  <c r="H2317" i="2" s="1"/>
  <c r="B2317" i="2"/>
  <c r="E2317" i="2"/>
  <c r="A2317" i="2"/>
  <c r="A2198" i="2"/>
  <c r="B2198" i="2"/>
  <c r="E2198" i="2"/>
  <c r="F2198" i="2"/>
  <c r="H2198" i="2" s="1"/>
  <c r="B2629" i="2"/>
  <c r="A2629" i="2"/>
  <c r="E2629" i="2"/>
  <c r="F2629" i="2"/>
  <c r="H2629" i="2" s="1"/>
  <c r="F2685" i="2"/>
  <c r="H2685" i="2" s="1"/>
  <c r="B2685" i="2"/>
  <c r="E2685" i="2"/>
  <c r="A2685" i="2"/>
  <c r="F2370" i="2"/>
  <c r="H2370" i="2" s="1"/>
  <c r="B2370" i="2"/>
  <c r="E2370" i="2"/>
  <c r="A2370" i="2"/>
  <c r="E2312" i="2"/>
  <c r="A2312" i="2"/>
  <c r="F2312" i="2"/>
  <c r="H2312" i="2" s="1"/>
  <c r="B2312" i="2"/>
  <c r="B2165" i="2"/>
  <c r="F2165" i="2"/>
  <c r="H2165" i="2" s="1"/>
  <c r="E2165" i="2"/>
  <c r="A2165" i="2"/>
  <c r="B2189" i="2"/>
  <c r="F2189" i="2"/>
  <c r="H2189" i="2" s="1"/>
  <c r="E2189" i="2"/>
  <c r="A2189" i="2"/>
  <c r="B2213" i="2"/>
  <c r="F2213" i="2"/>
  <c r="H2213" i="2" s="1"/>
  <c r="A2213" i="2"/>
  <c r="E2213" i="2"/>
  <c r="F2283" i="2"/>
  <c r="H2283" i="2" s="1"/>
  <c r="A2283" i="2"/>
  <c r="E2283" i="2"/>
  <c r="B2283" i="2"/>
  <c r="F2434" i="2"/>
  <c r="H2434" i="2" s="1"/>
  <c r="E2434" i="2"/>
  <c r="B2434" i="2"/>
  <c r="A2434" i="2"/>
  <c r="F2269" i="2"/>
  <c r="H2269" i="2" s="1"/>
  <c r="E2269" i="2"/>
  <c r="B2269" i="2"/>
  <c r="A2269" i="2"/>
  <c r="A2566" i="2"/>
  <c r="B2566" i="2"/>
  <c r="F2566" i="2"/>
  <c r="H2566" i="2" s="1"/>
  <c r="E2566" i="2"/>
  <c r="E2322" i="2"/>
  <c r="A2322" i="2"/>
  <c r="F2322" i="2"/>
  <c r="H2322" i="2" s="1"/>
  <c r="B2322" i="2"/>
  <c r="F2667" i="2"/>
  <c r="H2667" i="2" s="1"/>
  <c r="E2667" i="2"/>
  <c r="B2667" i="2"/>
  <c r="A2667" i="2"/>
  <c r="E2597" i="2"/>
  <c r="A2597" i="2"/>
  <c r="F2597" i="2"/>
  <c r="H2597" i="2" s="1"/>
  <c r="B2597" i="2"/>
  <c r="F2623" i="2"/>
  <c r="H2623" i="2" s="1"/>
  <c r="B2623" i="2"/>
  <c r="A2623" i="2"/>
  <c r="E2623" i="2"/>
  <c r="F2446" i="2"/>
  <c r="H2446" i="2" s="1"/>
  <c r="E2446" i="2"/>
  <c r="A2446" i="2"/>
  <c r="B2446" i="2"/>
  <c r="E2620" i="2"/>
  <c r="A2620" i="2"/>
  <c r="F2620" i="2"/>
  <c r="H2620" i="2" s="1"/>
  <c r="B2620" i="2"/>
  <c r="F2560" i="2"/>
  <c r="H2560" i="2" s="1"/>
  <c r="B2560" i="2"/>
  <c r="E2560" i="2"/>
  <c r="A2560" i="2"/>
  <c r="E2386" i="2"/>
  <c r="F2386" i="2"/>
  <c r="H2386" i="2" s="1"/>
  <c r="B2386" i="2"/>
  <c r="A2386" i="2"/>
  <c r="A2553" i="2"/>
  <c r="F2553" i="2"/>
  <c r="H2553" i="2" s="1"/>
  <c r="B2553" i="2"/>
  <c r="E2553" i="2"/>
  <c r="B2571" i="2"/>
  <c r="F2571" i="2"/>
  <c r="H2571" i="2" s="1"/>
  <c r="E2571" i="2"/>
  <c r="A2571" i="2"/>
  <c r="B2584" i="2"/>
  <c r="E2584" i="2"/>
  <c r="F2584" i="2"/>
  <c r="H2584" i="2" s="1"/>
  <c r="A2584" i="2"/>
  <c r="F2547" i="2"/>
  <c r="H2547" i="2" s="1"/>
  <c r="B2547" i="2"/>
  <c r="E2547" i="2"/>
  <c r="A2547" i="2"/>
  <c r="F2706" i="2"/>
  <c r="H2706" i="2" s="1"/>
  <c r="E2706" i="2"/>
  <c r="B2706" i="2"/>
  <c r="A2706" i="2"/>
  <c r="E2357" i="2"/>
  <c r="F2357" i="2"/>
  <c r="H2357" i="2" s="1"/>
  <c r="B2357" i="2"/>
  <c r="A2357" i="2"/>
  <c r="E2381" i="2"/>
  <c r="A2381" i="2"/>
  <c r="B2381" i="2"/>
  <c r="F2381" i="2"/>
  <c r="H2381" i="2" s="1"/>
  <c r="E2405" i="2"/>
  <c r="F2405" i="2"/>
  <c r="H2405" i="2" s="1"/>
  <c r="B2405" i="2"/>
  <c r="A2405" i="2"/>
  <c r="E2429" i="2"/>
  <c r="F2429" i="2"/>
  <c r="H2429" i="2" s="1"/>
  <c r="B2429" i="2"/>
  <c r="A2429" i="2"/>
  <c r="E2453" i="2"/>
  <c r="A2453" i="2"/>
  <c r="F2453" i="2"/>
  <c r="H2453" i="2" s="1"/>
  <c r="B2453" i="2"/>
  <c r="E2477" i="2"/>
  <c r="F2477" i="2"/>
  <c r="H2477" i="2" s="1"/>
  <c r="B2477" i="2"/>
  <c r="A2477" i="2"/>
  <c r="E2501" i="2"/>
  <c r="F2501" i="2"/>
  <c r="H2501" i="2" s="1"/>
  <c r="A2501" i="2"/>
  <c r="B2501" i="2"/>
  <c r="E2654" i="2"/>
  <c r="F2654" i="2"/>
  <c r="H2654" i="2" s="1"/>
  <c r="B2654" i="2"/>
  <c r="A2654" i="2"/>
  <c r="B2639" i="2"/>
  <c r="F2639" i="2"/>
  <c r="H2639" i="2" s="1"/>
  <c r="A2639" i="2"/>
  <c r="E2639" i="2"/>
  <c r="E2611" i="2"/>
  <c r="F2611" i="2"/>
  <c r="H2611" i="2" s="1"/>
  <c r="A2611" i="2"/>
  <c r="B2611" i="2"/>
  <c r="F335" i="2"/>
  <c r="H335" i="2" s="1"/>
  <c r="E335" i="2"/>
  <c r="A335" i="2"/>
  <c r="B335" i="2"/>
  <c r="B422" i="2"/>
  <c r="A422" i="2"/>
  <c r="F422" i="2"/>
  <c r="H422" i="2" s="1"/>
  <c r="E422" i="2"/>
  <c r="F301" i="2"/>
  <c r="H301" i="2" s="1"/>
  <c r="A301" i="2"/>
  <c r="E301" i="2"/>
  <c r="B301" i="2"/>
  <c r="B24" i="2"/>
  <c r="A24" i="2"/>
  <c r="F24" i="2"/>
  <c r="H24" i="2" s="1"/>
  <c r="E24" i="2"/>
  <c r="A308" i="2"/>
  <c r="E308" i="2"/>
  <c r="B308" i="2"/>
  <c r="F308" i="2"/>
  <c r="H308" i="2" s="1"/>
  <c r="A332" i="2"/>
  <c r="E332" i="2"/>
  <c r="B332" i="2"/>
  <c r="F332" i="2"/>
  <c r="H332" i="2" s="1"/>
  <c r="F177" i="2"/>
  <c r="H177" i="2" s="1"/>
  <c r="A177" i="2"/>
  <c r="E177" i="2"/>
  <c r="B177" i="2"/>
  <c r="F391" i="2"/>
  <c r="H391" i="2" s="1"/>
  <c r="E391" i="2"/>
  <c r="A391" i="2"/>
  <c r="B391" i="2"/>
  <c r="F426" i="2"/>
  <c r="H426" i="2" s="1"/>
  <c r="B426" i="2"/>
  <c r="A426" i="2"/>
  <c r="E426" i="2"/>
  <c r="F101" i="2"/>
  <c r="H101" i="2" s="1"/>
  <c r="E101" i="2"/>
  <c r="B101" i="2"/>
  <c r="A101" i="2"/>
  <c r="B49" i="2"/>
  <c r="A49" i="2"/>
  <c r="F49" i="2"/>
  <c r="H49" i="2" s="1"/>
  <c r="E49" i="2"/>
  <c r="F249" i="2"/>
  <c r="H249" i="2" s="1"/>
  <c r="A249" i="2"/>
  <c r="E249" i="2"/>
  <c r="B249" i="2"/>
  <c r="B99" i="2"/>
  <c r="E99" i="2"/>
  <c r="A99" i="2"/>
  <c r="F99" i="2"/>
  <c r="H99" i="2" s="1"/>
  <c r="B46" i="2"/>
  <c r="A46" i="2"/>
  <c r="F46" i="2"/>
  <c r="H46" i="2" s="1"/>
  <c r="E46" i="2"/>
  <c r="F383" i="2"/>
  <c r="H383" i="2" s="1"/>
  <c r="E383" i="2"/>
  <c r="A383" i="2"/>
  <c r="B383" i="2"/>
  <c r="F205" i="2"/>
  <c r="H205" i="2" s="1"/>
  <c r="E205" i="2"/>
  <c r="B205" i="2"/>
  <c r="A205" i="2"/>
  <c r="F313" i="2"/>
  <c r="H313" i="2" s="1"/>
  <c r="E313" i="2"/>
  <c r="A313" i="2"/>
  <c r="B313" i="2"/>
  <c r="F361" i="2"/>
  <c r="H361" i="2" s="1"/>
  <c r="E361" i="2"/>
  <c r="A361" i="2"/>
  <c r="B361" i="2"/>
  <c r="F409" i="2"/>
  <c r="H409" i="2" s="1"/>
  <c r="E409" i="2"/>
  <c r="A409" i="2"/>
  <c r="B409" i="2"/>
  <c r="E216" i="2"/>
  <c r="B216" i="2"/>
  <c r="A216" i="2"/>
  <c r="F216" i="2"/>
  <c r="H216" i="2" s="1"/>
  <c r="E960" i="2"/>
  <c r="B960" i="2"/>
  <c r="F960" i="2"/>
  <c r="H960" i="2" s="1"/>
  <c r="A960" i="2"/>
  <c r="F47" i="2"/>
  <c r="H47" i="2" s="1"/>
  <c r="B47" i="2"/>
  <c r="E47" i="2"/>
  <c r="A47" i="2"/>
  <c r="F71" i="2"/>
  <c r="H71" i="2" s="1"/>
  <c r="E71" i="2"/>
  <c r="B71" i="2"/>
  <c r="A71" i="2"/>
  <c r="E95" i="2"/>
  <c r="F95" i="2"/>
  <c r="H95" i="2" s="1"/>
  <c r="B95" i="2"/>
  <c r="A95" i="2"/>
  <c r="F219" i="2"/>
  <c r="H219" i="2" s="1"/>
  <c r="E219" i="2"/>
  <c r="B219" i="2"/>
  <c r="A219" i="2"/>
  <c r="B703" i="2"/>
  <c r="A703" i="2"/>
  <c r="F703" i="2"/>
  <c r="H703" i="2" s="1"/>
  <c r="E703" i="2"/>
  <c r="F193" i="2"/>
  <c r="H193" i="2" s="1"/>
  <c r="E193" i="2"/>
  <c r="B193" i="2"/>
  <c r="A193" i="2"/>
  <c r="F309" i="2"/>
  <c r="H309" i="2" s="1"/>
  <c r="E309" i="2"/>
  <c r="A309" i="2"/>
  <c r="B309" i="2"/>
  <c r="F357" i="2"/>
  <c r="H357" i="2" s="1"/>
  <c r="E357" i="2"/>
  <c r="A357" i="2"/>
  <c r="B357" i="2"/>
  <c r="F405" i="2"/>
  <c r="H405" i="2" s="1"/>
  <c r="E405" i="2"/>
  <c r="A405" i="2"/>
  <c r="B405" i="2"/>
  <c r="F180" i="2"/>
  <c r="H180" i="2" s="1"/>
  <c r="E180" i="2"/>
  <c r="B180" i="2"/>
  <c r="A180" i="2"/>
  <c r="A503" i="2"/>
  <c r="E503" i="2"/>
  <c r="B503" i="2"/>
  <c r="F503" i="2"/>
  <c r="H503" i="2" s="1"/>
  <c r="F141" i="2"/>
  <c r="H141" i="2" s="1"/>
  <c r="E141" i="2"/>
  <c r="B141" i="2"/>
  <c r="A141" i="2"/>
  <c r="F285" i="2"/>
  <c r="H285" i="2" s="1"/>
  <c r="E285" i="2"/>
  <c r="B285" i="2"/>
  <c r="A285" i="2"/>
  <c r="B663" i="2"/>
  <c r="A663" i="2"/>
  <c r="F663" i="2"/>
  <c r="H663" i="2" s="1"/>
  <c r="E663" i="2"/>
  <c r="F224" i="2"/>
  <c r="H224" i="2" s="1"/>
  <c r="E224" i="2"/>
  <c r="B224" i="2"/>
  <c r="A224" i="2"/>
  <c r="F331" i="2"/>
  <c r="H331" i="2" s="1"/>
  <c r="E331" i="2"/>
  <c r="A331" i="2"/>
  <c r="B331" i="2"/>
  <c r="F379" i="2"/>
  <c r="H379" i="2" s="1"/>
  <c r="E379" i="2"/>
  <c r="A379" i="2"/>
  <c r="B379" i="2"/>
  <c r="A731" i="2"/>
  <c r="B731" i="2"/>
  <c r="F731" i="2"/>
  <c r="H731" i="2" s="1"/>
  <c r="E731" i="2"/>
  <c r="F233" i="2"/>
  <c r="H233" i="2" s="1"/>
  <c r="E233" i="2"/>
  <c r="B233" i="2"/>
  <c r="A233" i="2"/>
  <c r="B949" i="2"/>
  <c r="A949" i="2"/>
  <c r="F949" i="2"/>
  <c r="H949" i="2" s="1"/>
  <c r="E949" i="2"/>
  <c r="F124" i="2"/>
  <c r="H124" i="2" s="1"/>
  <c r="E124" i="2"/>
  <c r="B124" i="2"/>
  <c r="A124" i="2"/>
  <c r="F268" i="2"/>
  <c r="H268" i="2" s="1"/>
  <c r="E268" i="2"/>
  <c r="B268" i="2"/>
  <c r="A268" i="2"/>
  <c r="F437" i="2"/>
  <c r="H437" i="2" s="1"/>
  <c r="E437" i="2"/>
  <c r="B437" i="2"/>
  <c r="A437" i="2"/>
  <c r="B861" i="2"/>
  <c r="A861" i="2"/>
  <c r="F861" i="2"/>
  <c r="H861" i="2" s="1"/>
  <c r="E861" i="2"/>
  <c r="B1065" i="2"/>
  <c r="A1065" i="2"/>
  <c r="F1065" i="2"/>
  <c r="H1065" i="2" s="1"/>
  <c r="E1065" i="2"/>
  <c r="E569" i="2"/>
  <c r="B569" i="2"/>
  <c r="A569" i="2"/>
  <c r="F569" i="2"/>
  <c r="H569" i="2" s="1"/>
  <c r="E665" i="2"/>
  <c r="B665" i="2"/>
  <c r="A665" i="2"/>
  <c r="F665" i="2"/>
  <c r="H665" i="2" s="1"/>
  <c r="A440" i="2"/>
  <c r="F440" i="2"/>
  <c r="H440" i="2" s="1"/>
  <c r="E440" i="2"/>
  <c r="B440" i="2"/>
  <c r="F771" i="2"/>
  <c r="H771" i="2" s="1"/>
  <c r="E771" i="2"/>
  <c r="B771" i="2"/>
  <c r="A771" i="2"/>
  <c r="F534" i="2"/>
  <c r="H534" i="2" s="1"/>
  <c r="B534" i="2"/>
  <c r="A534" i="2"/>
  <c r="E534" i="2"/>
  <c r="E920" i="2"/>
  <c r="B920" i="2"/>
  <c r="F920" i="2"/>
  <c r="H920" i="2" s="1"/>
  <c r="A920" i="2"/>
  <c r="F460" i="2"/>
  <c r="H460" i="2" s="1"/>
  <c r="E460" i="2"/>
  <c r="B460" i="2"/>
  <c r="A460" i="2"/>
  <c r="F589" i="2"/>
  <c r="H589" i="2" s="1"/>
  <c r="E589" i="2"/>
  <c r="B589" i="2"/>
  <c r="A589" i="2"/>
  <c r="F685" i="2"/>
  <c r="H685" i="2" s="1"/>
  <c r="E685" i="2"/>
  <c r="B685" i="2"/>
  <c r="A685" i="2"/>
  <c r="F469" i="2"/>
  <c r="H469" i="2" s="1"/>
  <c r="E469" i="2"/>
  <c r="B469" i="2"/>
  <c r="A469" i="2"/>
  <c r="F419" i="2"/>
  <c r="H419" i="2" s="1"/>
  <c r="E419" i="2"/>
  <c r="A419" i="2"/>
  <c r="B419" i="2"/>
  <c r="F563" i="2"/>
  <c r="H563" i="2" s="1"/>
  <c r="E563" i="2"/>
  <c r="B563" i="2"/>
  <c r="A563" i="2"/>
  <c r="E944" i="2"/>
  <c r="B944" i="2"/>
  <c r="F944" i="2"/>
  <c r="H944" i="2" s="1"/>
  <c r="A944" i="2"/>
  <c r="F489" i="2"/>
  <c r="H489" i="2" s="1"/>
  <c r="E489" i="2"/>
  <c r="B489" i="2"/>
  <c r="A489" i="2"/>
  <c r="F627" i="2"/>
  <c r="H627" i="2" s="1"/>
  <c r="E627" i="2"/>
  <c r="B627" i="2"/>
  <c r="A627" i="2"/>
  <c r="A721" i="2"/>
  <c r="F721" i="2"/>
  <c r="H721" i="2" s="1"/>
  <c r="E721" i="2"/>
  <c r="B721" i="2"/>
  <c r="F452" i="2"/>
  <c r="H452" i="2" s="1"/>
  <c r="E452" i="2"/>
  <c r="B452" i="2"/>
  <c r="A452" i="2"/>
  <c r="B787" i="2"/>
  <c r="A787" i="2"/>
  <c r="F787" i="2"/>
  <c r="H787" i="2" s="1"/>
  <c r="E787" i="2"/>
  <c r="E1412" i="2"/>
  <c r="A1412" i="2"/>
  <c r="F1412" i="2"/>
  <c r="H1412" i="2" s="1"/>
  <c r="B1412" i="2"/>
  <c r="E792" i="2"/>
  <c r="F792" i="2"/>
  <c r="H792" i="2" s="1"/>
  <c r="B792" i="2"/>
  <c r="A792" i="2"/>
  <c r="E878" i="2"/>
  <c r="B878" i="2"/>
  <c r="F878" i="2"/>
  <c r="H878" i="2" s="1"/>
  <c r="A878" i="2"/>
  <c r="E926" i="2"/>
  <c r="B926" i="2"/>
  <c r="A926" i="2"/>
  <c r="F926" i="2"/>
  <c r="H926" i="2" s="1"/>
  <c r="E974" i="2"/>
  <c r="B974" i="2"/>
  <c r="F974" i="2"/>
  <c r="H974" i="2" s="1"/>
  <c r="A974" i="2"/>
  <c r="E1022" i="2"/>
  <c r="B1022" i="2"/>
  <c r="A1022" i="2"/>
  <c r="F1022" i="2"/>
  <c r="H1022" i="2" s="1"/>
  <c r="E826" i="2"/>
  <c r="B826" i="2"/>
  <c r="F826" i="2"/>
  <c r="H826" i="2" s="1"/>
  <c r="A826" i="2"/>
  <c r="A1589" i="2"/>
  <c r="E1589" i="2"/>
  <c r="B1589" i="2"/>
  <c r="F1589" i="2"/>
  <c r="H1589" i="2" s="1"/>
  <c r="A562" i="2"/>
  <c r="E562" i="2"/>
  <c r="B562" i="2"/>
  <c r="F562" i="2"/>
  <c r="H562" i="2" s="1"/>
  <c r="E586" i="2"/>
  <c r="F586" i="2"/>
  <c r="H586" i="2" s="1"/>
  <c r="B586" i="2"/>
  <c r="A586" i="2"/>
  <c r="E610" i="2"/>
  <c r="F610" i="2"/>
  <c r="H610" i="2" s="1"/>
  <c r="B610" i="2"/>
  <c r="A610" i="2"/>
  <c r="E634" i="2"/>
  <c r="F634" i="2"/>
  <c r="H634" i="2" s="1"/>
  <c r="B634" i="2"/>
  <c r="A634" i="2"/>
  <c r="E658" i="2"/>
  <c r="F658" i="2"/>
  <c r="H658" i="2" s="1"/>
  <c r="A658" i="2"/>
  <c r="B658" i="2"/>
  <c r="E682" i="2"/>
  <c r="F682" i="2"/>
  <c r="H682" i="2" s="1"/>
  <c r="B682" i="2"/>
  <c r="A682" i="2"/>
  <c r="E706" i="2"/>
  <c r="F706" i="2"/>
  <c r="H706" i="2" s="1"/>
  <c r="B706" i="2"/>
  <c r="A706" i="2"/>
  <c r="E730" i="2"/>
  <c r="F730" i="2"/>
  <c r="H730" i="2" s="1"/>
  <c r="B730" i="2"/>
  <c r="A730" i="2"/>
  <c r="F1041" i="2"/>
  <c r="H1041" i="2" s="1"/>
  <c r="E1041" i="2"/>
  <c r="B1041" i="2"/>
  <c r="A1041" i="2"/>
  <c r="F831" i="2"/>
  <c r="H831" i="2" s="1"/>
  <c r="E831" i="2"/>
  <c r="B831" i="2"/>
  <c r="A831" i="2"/>
  <c r="F881" i="2"/>
  <c r="H881" i="2" s="1"/>
  <c r="E881" i="2"/>
  <c r="B881" i="2"/>
  <c r="A881" i="2"/>
  <c r="F929" i="2"/>
  <c r="H929" i="2" s="1"/>
  <c r="E929" i="2"/>
  <c r="B929" i="2"/>
  <c r="A929" i="2"/>
  <c r="F977" i="2"/>
  <c r="H977" i="2" s="1"/>
  <c r="E977" i="2"/>
  <c r="B977" i="2"/>
  <c r="A977" i="2"/>
  <c r="F1025" i="2"/>
  <c r="H1025" i="2" s="1"/>
  <c r="E1025" i="2"/>
  <c r="B1025" i="2"/>
  <c r="A1025" i="2"/>
  <c r="B1179" i="2"/>
  <c r="A1179" i="2"/>
  <c r="F1179" i="2"/>
  <c r="H1179" i="2" s="1"/>
  <c r="E1179" i="2"/>
  <c r="F829" i="2"/>
  <c r="H829" i="2" s="1"/>
  <c r="E829" i="2"/>
  <c r="B829" i="2"/>
  <c r="A829" i="2"/>
  <c r="E769" i="2"/>
  <c r="B769" i="2"/>
  <c r="A769" i="2"/>
  <c r="F769" i="2"/>
  <c r="H769" i="2" s="1"/>
  <c r="F871" i="2"/>
  <c r="H871" i="2" s="1"/>
  <c r="E871" i="2"/>
  <c r="B871" i="2"/>
  <c r="A871" i="2"/>
  <c r="F919" i="2"/>
  <c r="H919" i="2" s="1"/>
  <c r="E919" i="2"/>
  <c r="B919" i="2"/>
  <c r="A919" i="2"/>
  <c r="F967" i="2"/>
  <c r="H967" i="2" s="1"/>
  <c r="E967" i="2"/>
  <c r="B967" i="2"/>
  <c r="A967" i="2"/>
  <c r="F1015" i="2"/>
  <c r="H1015" i="2" s="1"/>
  <c r="E1015" i="2"/>
  <c r="B1015" i="2"/>
  <c r="A1015" i="2"/>
  <c r="E1077" i="2"/>
  <c r="B1077" i="2"/>
  <c r="A1077" i="2"/>
  <c r="F1077" i="2"/>
  <c r="H1077" i="2" s="1"/>
  <c r="A1141" i="2"/>
  <c r="F1141" i="2"/>
  <c r="H1141" i="2" s="1"/>
  <c r="E1141" i="2"/>
  <c r="B1141" i="2"/>
  <c r="A1249" i="2"/>
  <c r="F1249" i="2"/>
  <c r="H1249" i="2" s="1"/>
  <c r="E1249" i="2"/>
  <c r="B1249" i="2"/>
  <c r="F1281" i="2"/>
  <c r="H1281" i="2" s="1"/>
  <c r="B1281" i="2"/>
  <c r="A1281" i="2"/>
  <c r="E1281" i="2"/>
  <c r="F1113" i="2"/>
  <c r="H1113" i="2" s="1"/>
  <c r="E1113" i="2"/>
  <c r="B1113" i="2"/>
  <c r="A1113" i="2"/>
  <c r="F1175" i="2"/>
  <c r="H1175" i="2" s="1"/>
  <c r="E1175" i="2"/>
  <c r="B1175" i="2"/>
  <c r="A1175" i="2"/>
  <c r="E1308" i="2"/>
  <c r="B1308" i="2"/>
  <c r="A1308" i="2"/>
  <c r="F1308" i="2"/>
  <c r="H1308" i="2" s="1"/>
  <c r="E1384" i="2"/>
  <c r="B1384" i="2"/>
  <c r="F1384" i="2"/>
  <c r="H1384" i="2" s="1"/>
  <c r="A1384" i="2"/>
  <c r="F1060" i="2"/>
  <c r="H1060" i="2" s="1"/>
  <c r="E1060" i="2"/>
  <c r="B1060" i="2"/>
  <c r="A1060" i="2"/>
  <c r="F1279" i="2"/>
  <c r="H1279" i="2" s="1"/>
  <c r="E1279" i="2"/>
  <c r="B1279" i="2"/>
  <c r="A1279" i="2"/>
  <c r="F1173" i="2"/>
  <c r="H1173" i="2" s="1"/>
  <c r="E1173" i="2"/>
  <c r="B1173" i="2"/>
  <c r="A1173" i="2"/>
  <c r="A1409" i="2"/>
  <c r="F1409" i="2"/>
  <c r="H1409" i="2" s="1"/>
  <c r="E1409" i="2"/>
  <c r="B1409" i="2"/>
  <c r="F1512" i="2"/>
  <c r="H1512" i="2" s="1"/>
  <c r="E1512" i="2"/>
  <c r="A1512" i="2"/>
  <c r="B1512" i="2"/>
  <c r="A1421" i="2"/>
  <c r="F1421" i="2"/>
  <c r="H1421" i="2" s="1"/>
  <c r="E1421" i="2"/>
  <c r="B1421" i="2"/>
  <c r="E1692" i="2"/>
  <c r="B1692" i="2"/>
  <c r="A1692" i="2"/>
  <c r="F1692" i="2"/>
  <c r="H1692" i="2" s="1"/>
  <c r="E1364" i="2"/>
  <c r="B1364" i="2"/>
  <c r="F1364" i="2"/>
  <c r="H1364" i="2" s="1"/>
  <c r="A1364" i="2"/>
  <c r="A1515" i="2"/>
  <c r="E1515" i="2"/>
  <c r="B1515" i="2"/>
  <c r="F1515" i="2"/>
  <c r="H1515" i="2" s="1"/>
  <c r="E1498" i="2"/>
  <c r="A1498" i="2"/>
  <c r="F1498" i="2"/>
  <c r="H1498" i="2" s="1"/>
  <c r="B1498" i="2"/>
  <c r="E1326" i="2"/>
  <c r="B1326" i="2"/>
  <c r="F1326" i="2"/>
  <c r="H1326" i="2" s="1"/>
  <c r="A1326" i="2"/>
  <c r="E1448" i="2"/>
  <c r="F1448" i="2"/>
  <c r="H1448" i="2" s="1"/>
  <c r="B1448" i="2"/>
  <c r="A1448" i="2"/>
  <c r="F1080" i="2"/>
  <c r="H1080" i="2" s="1"/>
  <c r="E1080" i="2"/>
  <c r="B1080" i="2"/>
  <c r="A1080" i="2"/>
  <c r="F1104" i="2"/>
  <c r="H1104" i="2" s="1"/>
  <c r="B1104" i="2"/>
  <c r="A1104" i="2"/>
  <c r="E1104" i="2"/>
  <c r="F1128" i="2"/>
  <c r="H1128" i="2" s="1"/>
  <c r="E1128" i="2"/>
  <c r="B1128" i="2"/>
  <c r="A1128" i="2"/>
  <c r="F1152" i="2"/>
  <c r="H1152" i="2" s="1"/>
  <c r="A1152" i="2"/>
  <c r="E1152" i="2"/>
  <c r="B1152" i="2"/>
  <c r="F1176" i="2"/>
  <c r="H1176" i="2" s="1"/>
  <c r="B1176" i="2"/>
  <c r="E1176" i="2"/>
  <c r="A1176" i="2"/>
  <c r="F1200" i="2"/>
  <c r="H1200" i="2" s="1"/>
  <c r="B1200" i="2"/>
  <c r="E1200" i="2"/>
  <c r="A1200" i="2"/>
  <c r="F1224" i="2"/>
  <c r="H1224" i="2" s="1"/>
  <c r="B1224" i="2"/>
  <c r="E1224" i="2"/>
  <c r="A1224" i="2"/>
  <c r="F1248" i="2"/>
  <c r="H1248" i="2" s="1"/>
  <c r="B1248" i="2"/>
  <c r="E1248" i="2"/>
  <c r="A1248" i="2"/>
  <c r="F1272" i="2"/>
  <c r="H1272" i="2" s="1"/>
  <c r="B1272" i="2"/>
  <c r="E1272" i="2"/>
  <c r="A1272" i="2"/>
  <c r="F1296" i="2"/>
  <c r="H1296" i="2" s="1"/>
  <c r="B1296" i="2"/>
  <c r="E1296" i="2"/>
  <c r="A1296" i="2"/>
  <c r="F1524" i="2"/>
  <c r="H1524" i="2" s="1"/>
  <c r="E1524" i="2"/>
  <c r="A1524" i="2"/>
  <c r="B1524" i="2"/>
  <c r="E1348" i="2"/>
  <c r="B1348" i="2"/>
  <c r="F1348" i="2"/>
  <c r="H1348" i="2" s="1"/>
  <c r="A1348" i="2"/>
  <c r="E1506" i="2"/>
  <c r="A1506" i="2"/>
  <c r="F1506" i="2"/>
  <c r="H1506" i="2" s="1"/>
  <c r="B1506" i="2"/>
  <c r="F1518" i="2"/>
  <c r="H1518" i="2" s="1"/>
  <c r="E1518" i="2"/>
  <c r="A1518" i="2"/>
  <c r="B1518" i="2"/>
  <c r="F1353" i="2"/>
  <c r="H1353" i="2" s="1"/>
  <c r="E1353" i="2"/>
  <c r="B1353" i="2"/>
  <c r="A1353" i="2"/>
  <c r="A1465" i="2"/>
  <c r="F1465" i="2"/>
  <c r="H1465" i="2" s="1"/>
  <c r="E1465" i="2"/>
  <c r="B1465" i="2"/>
  <c r="E1869" i="2"/>
  <c r="F1869" i="2"/>
  <c r="H1869" i="2" s="1"/>
  <c r="A1869" i="2"/>
  <c r="B1869" i="2"/>
  <c r="A1473" i="2"/>
  <c r="F1473" i="2"/>
  <c r="H1473" i="2" s="1"/>
  <c r="E1473" i="2"/>
  <c r="B1473" i="2"/>
  <c r="A1531" i="2"/>
  <c r="F1531" i="2"/>
  <c r="H1531" i="2" s="1"/>
  <c r="E1531" i="2"/>
  <c r="B1531" i="2"/>
  <c r="A1567" i="2"/>
  <c r="F1567" i="2"/>
  <c r="H1567" i="2" s="1"/>
  <c r="E1567" i="2"/>
  <c r="B1567" i="2"/>
  <c r="A1760" i="2"/>
  <c r="E1760" i="2"/>
  <c r="B1760" i="2"/>
  <c r="F1760" i="2"/>
  <c r="H1760" i="2" s="1"/>
  <c r="A1423" i="2"/>
  <c r="E1423" i="2"/>
  <c r="F1423" i="2"/>
  <c r="H1423" i="2" s="1"/>
  <c r="B1423" i="2"/>
  <c r="E1416" i="2"/>
  <c r="F1416" i="2"/>
  <c r="H1416" i="2" s="1"/>
  <c r="A1416" i="2"/>
  <c r="B1416" i="2"/>
  <c r="F1587" i="2"/>
  <c r="H1587" i="2" s="1"/>
  <c r="E1587" i="2"/>
  <c r="B1587" i="2"/>
  <c r="A1587" i="2"/>
  <c r="A1523" i="2"/>
  <c r="F1523" i="2"/>
  <c r="H1523" i="2" s="1"/>
  <c r="E1523" i="2"/>
  <c r="B1523" i="2"/>
  <c r="A1559" i="2"/>
  <c r="F1559" i="2"/>
  <c r="H1559" i="2" s="1"/>
  <c r="E1559" i="2"/>
  <c r="B1559" i="2"/>
  <c r="E1704" i="2"/>
  <c r="B1704" i="2"/>
  <c r="A1704" i="2"/>
  <c r="F1704" i="2"/>
  <c r="H1704" i="2" s="1"/>
  <c r="F1639" i="2"/>
  <c r="H1639" i="2" s="1"/>
  <c r="E1639" i="2"/>
  <c r="B1639" i="2"/>
  <c r="A1639" i="2"/>
  <c r="F1610" i="2"/>
  <c r="H1610" i="2" s="1"/>
  <c r="E1610" i="2"/>
  <c r="B1610" i="2"/>
  <c r="A1610" i="2"/>
  <c r="F1838" i="2"/>
  <c r="H1838" i="2" s="1"/>
  <c r="B1838" i="2"/>
  <c r="E1838" i="2"/>
  <c r="A1838" i="2"/>
  <c r="F1850" i="2"/>
  <c r="H1850" i="2" s="1"/>
  <c r="B1850" i="2"/>
  <c r="A1850" i="2"/>
  <c r="E1850" i="2"/>
  <c r="A1787" i="2"/>
  <c r="F1787" i="2"/>
  <c r="H1787" i="2" s="1"/>
  <c r="E1787" i="2"/>
  <c r="B1787" i="2"/>
  <c r="F1668" i="2"/>
  <c r="H1668" i="2" s="1"/>
  <c r="E1668" i="2"/>
  <c r="B1668" i="2"/>
  <c r="A1668" i="2"/>
  <c r="F1570" i="2"/>
  <c r="H1570" i="2" s="1"/>
  <c r="B1570" i="2"/>
  <c r="A1570" i="2"/>
  <c r="E1570" i="2"/>
  <c r="A1715" i="2"/>
  <c r="F1715" i="2"/>
  <c r="H1715" i="2" s="1"/>
  <c r="E1715" i="2"/>
  <c r="B1715" i="2"/>
  <c r="F1640" i="2"/>
  <c r="H1640" i="2" s="1"/>
  <c r="E1640" i="2"/>
  <c r="A1640" i="2"/>
  <c r="B1640" i="2"/>
  <c r="F1801" i="2"/>
  <c r="H1801" i="2" s="1"/>
  <c r="E1801" i="2"/>
  <c r="B1801" i="2"/>
  <c r="A1801" i="2"/>
  <c r="A1701" i="2"/>
  <c r="F1701" i="2"/>
  <c r="H1701" i="2" s="1"/>
  <c r="E1701" i="2"/>
  <c r="B1701" i="2"/>
  <c r="F1577" i="2"/>
  <c r="H1577" i="2" s="1"/>
  <c r="B1577" i="2"/>
  <c r="A1577" i="2"/>
  <c r="E1577" i="2"/>
  <c r="F1718" i="2"/>
  <c r="H1718" i="2" s="1"/>
  <c r="E1718" i="2"/>
  <c r="B1718" i="2"/>
  <c r="A1718" i="2"/>
  <c r="B2007" i="2"/>
  <c r="A2007" i="2"/>
  <c r="F2007" i="2"/>
  <c r="H2007" i="2" s="1"/>
  <c r="E2007" i="2"/>
  <c r="B1790" i="2"/>
  <c r="A1790" i="2"/>
  <c r="F1790" i="2"/>
  <c r="H1790" i="2" s="1"/>
  <c r="E1790" i="2"/>
  <c r="F1814" i="2"/>
  <c r="H1814" i="2" s="1"/>
  <c r="E1814" i="2"/>
  <c r="B1814" i="2"/>
  <c r="A1814" i="2"/>
  <c r="F1870" i="2"/>
  <c r="H1870" i="2" s="1"/>
  <c r="E1870" i="2"/>
  <c r="B1870" i="2"/>
  <c r="A1870" i="2"/>
  <c r="F1832" i="2"/>
  <c r="H1832" i="2" s="1"/>
  <c r="E1832" i="2"/>
  <c r="B1832" i="2"/>
  <c r="A1832" i="2"/>
  <c r="E1823" i="2"/>
  <c r="F1823" i="2"/>
  <c r="H1823" i="2" s="1"/>
  <c r="B1823" i="2"/>
  <c r="A1823" i="2"/>
  <c r="B2129" i="2"/>
  <c r="A2129" i="2"/>
  <c r="F2129" i="2"/>
  <c r="H2129" i="2" s="1"/>
  <c r="E2129" i="2"/>
  <c r="B2077" i="2"/>
  <c r="E2077" i="2"/>
  <c r="A2077" i="2"/>
  <c r="F2077" i="2"/>
  <c r="H2077" i="2" s="1"/>
  <c r="E2270" i="2"/>
  <c r="F2270" i="2"/>
  <c r="H2270" i="2" s="1"/>
  <c r="A2270" i="2"/>
  <c r="B2270" i="2"/>
  <c r="B2087" i="2"/>
  <c r="F2087" i="2"/>
  <c r="H2087" i="2" s="1"/>
  <c r="E2087" i="2"/>
  <c r="A2087" i="2"/>
  <c r="A2232" i="2"/>
  <c r="E2232" i="2"/>
  <c r="B2232" i="2"/>
  <c r="F2232" i="2"/>
  <c r="H2232" i="2" s="1"/>
  <c r="E2278" i="2"/>
  <c r="B2278" i="2"/>
  <c r="A2278" i="2"/>
  <c r="F2278" i="2"/>
  <c r="H2278" i="2" s="1"/>
  <c r="B2081" i="2"/>
  <c r="F2081" i="2"/>
  <c r="H2081" i="2" s="1"/>
  <c r="E2081" i="2"/>
  <c r="A2081" i="2"/>
  <c r="B2112" i="2"/>
  <c r="A2112" i="2"/>
  <c r="E2112" i="2"/>
  <c r="F2112" i="2"/>
  <c r="H2112" i="2" s="1"/>
  <c r="A1882" i="2"/>
  <c r="B1882" i="2"/>
  <c r="F1882" i="2"/>
  <c r="H1882" i="2" s="1"/>
  <c r="E1882" i="2"/>
  <c r="A1906" i="2"/>
  <c r="F1906" i="2"/>
  <c r="H1906" i="2" s="1"/>
  <c r="E1906" i="2"/>
  <c r="B1906" i="2"/>
  <c r="A1930" i="2"/>
  <c r="E1930" i="2"/>
  <c r="F1930" i="2"/>
  <c r="H1930" i="2" s="1"/>
  <c r="B1930" i="2"/>
  <c r="A1954" i="2"/>
  <c r="F1954" i="2"/>
  <c r="H1954" i="2" s="1"/>
  <c r="E1954" i="2"/>
  <c r="B1954" i="2"/>
  <c r="B1978" i="2"/>
  <c r="A1978" i="2"/>
  <c r="F1978" i="2"/>
  <c r="H1978" i="2" s="1"/>
  <c r="E1978" i="2"/>
  <c r="B2002" i="2"/>
  <c r="A2002" i="2"/>
  <c r="F2002" i="2"/>
  <c r="H2002" i="2" s="1"/>
  <c r="E2002" i="2"/>
  <c r="B2115" i="2"/>
  <c r="F2115" i="2"/>
  <c r="H2115" i="2" s="1"/>
  <c r="E2115" i="2"/>
  <c r="A2115" i="2"/>
  <c r="A2176" i="2"/>
  <c r="B2176" i="2"/>
  <c r="F2176" i="2"/>
  <c r="H2176" i="2" s="1"/>
  <c r="E2176" i="2"/>
  <c r="A2180" i="2"/>
  <c r="B2180" i="2"/>
  <c r="F2180" i="2"/>
  <c r="H2180" i="2" s="1"/>
  <c r="E2180" i="2"/>
  <c r="F2388" i="2"/>
  <c r="H2388" i="2" s="1"/>
  <c r="E2388" i="2"/>
  <c r="B2388" i="2"/>
  <c r="A2388" i="2"/>
  <c r="A2204" i="2"/>
  <c r="B2204" i="2"/>
  <c r="F2204" i="2"/>
  <c r="H2204" i="2" s="1"/>
  <c r="E2204" i="2"/>
  <c r="A2200" i="2"/>
  <c r="B2200" i="2"/>
  <c r="F2200" i="2"/>
  <c r="H2200" i="2" s="1"/>
  <c r="E2200" i="2"/>
  <c r="F1887" i="2"/>
  <c r="H1887" i="2" s="1"/>
  <c r="E1887" i="2"/>
  <c r="B1887" i="2"/>
  <c r="A1887" i="2"/>
  <c r="A1911" i="2"/>
  <c r="E1911" i="2"/>
  <c r="B1911" i="2"/>
  <c r="F1911" i="2"/>
  <c r="H1911" i="2" s="1"/>
  <c r="F1935" i="2"/>
  <c r="H1935" i="2" s="1"/>
  <c r="E1935" i="2"/>
  <c r="B1935" i="2"/>
  <c r="A1935" i="2"/>
  <c r="B1959" i="2"/>
  <c r="E1959" i="2"/>
  <c r="A1959" i="2"/>
  <c r="F1959" i="2"/>
  <c r="H1959" i="2" s="1"/>
  <c r="A1983" i="2"/>
  <c r="E1983" i="2"/>
  <c r="F1983" i="2"/>
  <c r="H1983" i="2" s="1"/>
  <c r="B1983" i="2"/>
  <c r="B2016" i="2"/>
  <c r="F2016" i="2"/>
  <c r="H2016" i="2" s="1"/>
  <c r="E2016" i="2"/>
  <c r="A2016" i="2"/>
  <c r="A2212" i="2"/>
  <c r="B2212" i="2"/>
  <c r="F2212" i="2"/>
  <c r="H2212" i="2" s="1"/>
  <c r="E2212" i="2"/>
  <c r="F2540" i="2"/>
  <c r="H2540" i="2" s="1"/>
  <c r="E2540" i="2"/>
  <c r="A2540" i="2"/>
  <c r="B2540" i="2"/>
  <c r="E2240" i="2"/>
  <c r="B2240" i="2"/>
  <c r="F2240" i="2"/>
  <c r="H2240" i="2" s="1"/>
  <c r="A2240" i="2"/>
  <c r="A2146" i="2"/>
  <c r="E2146" i="2"/>
  <c r="B2146" i="2"/>
  <c r="F2146" i="2"/>
  <c r="H2146" i="2" s="1"/>
  <c r="F2289" i="2"/>
  <c r="H2289" i="2" s="1"/>
  <c r="E2289" i="2"/>
  <c r="B2289" i="2"/>
  <c r="A2289" i="2"/>
  <c r="E2285" i="2"/>
  <c r="B2285" i="2"/>
  <c r="A2285" i="2"/>
  <c r="F2285" i="2"/>
  <c r="H2285" i="2" s="1"/>
  <c r="F2360" i="2"/>
  <c r="H2360" i="2" s="1"/>
  <c r="E2360" i="2"/>
  <c r="B2360" i="2"/>
  <c r="A2360" i="2"/>
  <c r="F2335" i="2"/>
  <c r="H2335" i="2" s="1"/>
  <c r="E2335" i="2"/>
  <c r="B2335" i="2"/>
  <c r="A2335" i="2"/>
  <c r="A2206" i="2"/>
  <c r="F2206" i="2"/>
  <c r="H2206" i="2" s="1"/>
  <c r="B2206" i="2"/>
  <c r="E2206" i="2"/>
  <c r="A2710" i="2"/>
  <c r="F2710" i="2"/>
  <c r="H2710" i="2" s="1"/>
  <c r="B2710" i="2"/>
  <c r="E2710" i="2"/>
  <c r="F2705" i="2"/>
  <c r="H2705" i="2" s="1"/>
  <c r="B2705" i="2"/>
  <c r="E2705" i="2"/>
  <c r="A2705" i="2"/>
  <c r="B2416" i="2"/>
  <c r="F2416" i="2"/>
  <c r="H2416" i="2" s="1"/>
  <c r="E2416" i="2"/>
  <c r="A2416" i="2"/>
  <c r="E2320" i="2"/>
  <c r="A2320" i="2"/>
  <c r="F2320" i="2"/>
  <c r="H2320" i="2" s="1"/>
  <c r="B2320" i="2"/>
  <c r="A2167" i="2"/>
  <c r="E2167" i="2"/>
  <c r="F2167" i="2"/>
  <c r="H2167" i="2" s="1"/>
  <c r="B2167" i="2"/>
  <c r="E2191" i="2"/>
  <c r="B2191" i="2"/>
  <c r="F2191" i="2"/>
  <c r="H2191" i="2" s="1"/>
  <c r="A2191" i="2"/>
  <c r="F2215" i="2"/>
  <c r="H2215" i="2" s="1"/>
  <c r="E2215" i="2"/>
  <c r="B2215" i="2"/>
  <c r="A2215" i="2"/>
  <c r="E2286" i="2"/>
  <c r="A2286" i="2"/>
  <c r="F2286" i="2"/>
  <c r="H2286" i="2" s="1"/>
  <c r="B2286" i="2"/>
  <c r="E2450" i="2"/>
  <c r="B2450" i="2"/>
  <c r="A2450" i="2"/>
  <c r="F2450" i="2"/>
  <c r="H2450" i="2" s="1"/>
  <c r="E2294" i="2"/>
  <c r="A2294" i="2"/>
  <c r="F2294" i="2"/>
  <c r="H2294" i="2" s="1"/>
  <c r="B2294" i="2"/>
  <c r="A2616" i="2"/>
  <c r="E2616" i="2"/>
  <c r="F2616" i="2"/>
  <c r="H2616" i="2" s="1"/>
  <c r="B2616" i="2"/>
  <c r="F2333" i="2"/>
  <c r="H2333" i="2" s="1"/>
  <c r="E2333" i="2"/>
  <c r="B2333" i="2"/>
  <c r="A2333" i="2"/>
  <c r="B2682" i="2"/>
  <c r="F2682" i="2"/>
  <c r="H2682" i="2" s="1"/>
  <c r="E2682" i="2"/>
  <c r="A2682" i="2"/>
  <c r="B2642" i="2"/>
  <c r="F2642" i="2"/>
  <c r="H2642" i="2" s="1"/>
  <c r="E2642" i="2"/>
  <c r="A2642" i="2"/>
  <c r="B2653" i="2"/>
  <c r="F2653" i="2"/>
  <c r="H2653" i="2" s="1"/>
  <c r="E2653" i="2"/>
  <c r="A2653" i="2"/>
  <c r="B2452" i="2"/>
  <c r="E2452" i="2"/>
  <c r="A2452" i="2"/>
  <c r="F2452" i="2"/>
  <c r="H2452" i="2" s="1"/>
  <c r="E2665" i="2"/>
  <c r="A2665" i="2"/>
  <c r="F2665" i="2"/>
  <c r="H2665" i="2" s="1"/>
  <c r="B2665" i="2"/>
  <c r="E2575" i="2"/>
  <c r="A2575" i="2"/>
  <c r="F2575" i="2"/>
  <c r="H2575" i="2" s="1"/>
  <c r="B2575" i="2"/>
  <c r="B2392" i="2"/>
  <c r="E2392" i="2"/>
  <c r="A2392" i="2"/>
  <c r="F2392" i="2"/>
  <c r="H2392" i="2" s="1"/>
  <c r="F2598" i="2"/>
  <c r="H2598" i="2" s="1"/>
  <c r="B2598" i="2"/>
  <c r="E2598" i="2"/>
  <c r="A2598" i="2"/>
  <c r="E2596" i="2"/>
  <c r="A2596" i="2"/>
  <c r="F2596" i="2"/>
  <c r="H2596" i="2" s="1"/>
  <c r="B2596" i="2"/>
  <c r="A2603" i="2"/>
  <c r="E2603" i="2"/>
  <c r="B2603" i="2"/>
  <c r="F2603" i="2"/>
  <c r="H2603" i="2" s="1"/>
  <c r="B2557" i="2"/>
  <c r="E2557" i="2"/>
  <c r="A2557" i="2"/>
  <c r="F2557" i="2"/>
  <c r="H2557" i="2" s="1"/>
  <c r="B2714" i="2"/>
  <c r="A2714" i="2"/>
  <c r="F2714" i="2"/>
  <c r="H2714" i="2" s="1"/>
  <c r="E2714" i="2"/>
  <c r="E2359" i="2"/>
  <c r="B2359" i="2"/>
  <c r="A2359" i="2"/>
  <c r="F2359" i="2"/>
  <c r="H2359" i="2" s="1"/>
  <c r="E2383" i="2"/>
  <c r="F2383" i="2"/>
  <c r="H2383" i="2" s="1"/>
  <c r="B2383" i="2"/>
  <c r="A2383" i="2"/>
  <c r="E2407" i="2"/>
  <c r="A2407" i="2"/>
  <c r="F2407" i="2"/>
  <c r="H2407" i="2" s="1"/>
  <c r="B2407" i="2"/>
  <c r="E2431" i="2"/>
  <c r="F2431" i="2"/>
  <c r="H2431" i="2" s="1"/>
  <c r="B2431" i="2"/>
  <c r="A2431" i="2"/>
  <c r="E2455" i="2"/>
  <c r="F2455" i="2"/>
  <c r="H2455" i="2" s="1"/>
  <c r="A2455" i="2"/>
  <c r="B2455" i="2"/>
  <c r="E2479" i="2"/>
  <c r="A2479" i="2"/>
  <c r="B2479" i="2"/>
  <c r="F2479" i="2"/>
  <c r="H2479" i="2" s="1"/>
  <c r="E2503" i="2"/>
  <c r="B2503" i="2"/>
  <c r="F2503" i="2"/>
  <c r="H2503" i="2" s="1"/>
  <c r="A2503" i="2"/>
  <c r="F2657" i="2"/>
  <c r="H2657" i="2" s="1"/>
  <c r="B2657" i="2"/>
  <c r="A2657" i="2"/>
  <c r="E2657" i="2"/>
  <c r="B2652" i="2"/>
  <c r="F2652" i="2"/>
  <c r="H2652" i="2" s="1"/>
  <c r="E2652" i="2"/>
  <c r="A2652" i="2"/>
  <c r="E2624" i="2"/>
  <c r="F2624" i="2"/>
  <c r="H2624" i="2" s="1"/>
  <c r="B2624" i="2"/>
  <c r="A2624" i="2"/>
  <c r="A324" i="2"/>
  <c r="E324" i="2"/>
  <c r="B324" i="2"/>
  <c r="F324" i="2"/>
  <c r="H324" i="2" s="1"/>
  <c r="F303" i="2"/>
  <c r="H303" i="2" s="1"/>
  <c r="A303" i="2"/>
  <c r="E303" i="2"/>
  <c r="B303" i="2"/>
  <c r="B282" i="2"/>
  <c r="A282" i="2"/>
  <c r="F282" i="2"/>
  <c r="H282" i="2" s="1"/>
  <c r="E282" i="2"/>
  <c r="A527" i="2"/>
  <c r="E527" i="2"/>
  <c r="B527" i="2"/>
  <c r="F527" i="2"/>
  <c r="H527" i="2" s="1"/>
  <c r="F271" i="2"/>
  <c r="H271" i="2" s="1"/>
  <c r="B271" i="2"/>
  <c r="A271" i="2"/>
  <c r="E271" i="2"/>
  <c r="F311" i="2"/>
  <c r="H311" i="2" s="1"/>
  <c r="E311" i="2"/>
  <c r="A311" i="2"/>
  <c r="B311" i="2"/>
  <c r="B142" i="2"/>
  <c r="A142" i="2"/>
  <c r="F142" i="2"/>
  <c r="H142" i="2" s="1"/>
  <c r="E142" i="2"/>
  <c r="A380" i="2"/>
  <c r="E380" i="2"/>
  <c r="B380" i="2"/>
  <c r="F380" i="2"/>
  <c r="H380" i="2" s="1"/>
  <c r="F366" i="2"/>
  <c r="H366" i="2" s="1"/>
  <c r="E366" i="2"/>
  <c r="B366" i="2"/>
  <c r="A366" i="2"/>
  <c r="E752" i="2"/>
  <c r="B752" i="2"/>
  <c r="F752" i="2"/>
  <c r="H752" i="2" s="1"/>
  <c r="A752" i="2"/>
  <c r="A557" i="2"/>
  <c r="E557" i="2"/>
  <c r="B557" i="2"/>
  <c r="F557" i="2"/>
  <c r="H557" i="2" s="1"/>
  <c r="B695" i="2"/>
  <c r="A695" i="2"/>
  <c r="F695" i="2"/>
  <c r="H695" i="2" s="1"/>
  <c r="E695" i="2"/>
  <c r="F384" i="2"/>
  <c r="H384" i="2" s="1"/>
  <c r="E384" i="2"/>
  <c r="B384" i="2"/>
  <c r="A384" i="2"/>
  <c r="F135" i="2"/>
  <c r="H135" i="2" s="1"/>
  <c r="E135" i="2"/>
  <c r="B135" i="2"/>
  <c r="A135" i="2"/>
  <c r="B1143" i="2"/>
  <c r="A1143" i="2"/>
  <c r="F1143" i="2"/>
  <c r="H1143" i="2" s="1"/>
  <c r="E1143" i="2"/>
  <c r="B807" i="2"/>
  <c r="F807" i="2"/>
  <c r="H807" i="2" s="1"/>
  <c r="E807" i="2"/>
  <c r="A807" i="2"/>
  <c r="F693" i="2"/>
  <c r="H693" i="2" s="1"/>
  <c r="E693" i="2"/>
  <c r="B693" i="2"/>
  <c r="A693" i="2"/>
  <c r="B965" i="2"/>
  <c r="A965" i="2"/>
  <c r="F965" i="2"/>
  <c r="H965" i="2" s="1"/>
  <c r="E965" i="2"/>
  <c r="A727" i="2"/>
  <c r="F727" i="2"/>
  <c r="H727" i="2" s="1"/>
  <c r="E727" i="2"/>
  <c r="B727" i="2"/>
  <c r="A805" i="2"/>
  <c r="B805" i="2"/>
  <c r="F805" i="2"/>
  <c r="H805" i="2" s="1"/>
  <c r="E805" i="2"/>
  <c r="A1027" i="2"/>
  <c r="F1027" i="2"/>
  <c r="H1027" i="2" s="1"/>
  <c r="E1027" i="2"/>
  <c r="B1027" i="2"/>
  <c r="E588" i="2"/>
  <c r="B588" i="2"/>
  <c r="A588" i="2"/>
  <c r="F588" i="2"/>
  <c r="H588" i="2" s="1"/>
  <c r="E684" i="2"/>
  <c r="B684" i="2"/>
  <c r="A684" i="2"/>
  <c r="F684" i="2"/>
  <c r="H684" i="2" s="1"/>
  <c r="E836" i="2"/>
  <c r="B836" i="2"/>
  <c r="F836" i="2"/>
  <c r="H836" i="2" s="1"/>
  <c r="A836" i="2"/>
  <c r="E1028" i="2"/>
  <c r="B1028" i="2"/>
  <c r="F1028" i="2"/>
  <c r="H1028" i="2" s="1"/>
  <c r="A1028" i="2"/>
  <c r="E874" i="2"/>
  <c r="B874" i="2"/>
  <c r="F874" i="2"/>
  <c r="H874" i="2" s="1"/>
  <c r="A874" i="2"/>
  <c r="E1101" i="2"/>
  <c r="B1101" i="2"/>
  <c r="A1101" i="2"/>
  <c r="F1101" i="2"/>
  <c r="H1101" i="2" s="1"/>
  <c r="F1137" i="2"/>
  <c r="H1137" i="2" s="1"/>
  <c r="E1137" i="2"/>
  <c r="A1137" i="2"/>
  <c r="B1137" i="2"/>
  <c r="F1062" i="2"/>
  <c r="H1062" i="2" s="1"/>
  <c r="E1062" i="2"/>
  <c r="B1062" i="2"/>
  <c r="A1062" i="2"/>
  <c r="E1424" i="2"/>
  <c r="B1424" i="2"/>
  <c r="A1424" i="2"/>
  <c r="F1424" i="2"/>
  <c r="H1424" i="2" s="1"/>
  <c r="A1505" i="2"/>
  <c r="F1505" i="2"/>
  <c r="H1505" i="2" s="1"/>
  <c r="E1505" i="2"/>
  <c r="B1505" i="2"/>
  <c r="A1106" i="2"/>
  <c r="F1106" i="2"/>
  <c r="H1106" i="2" s="1"/>
  <c r="E1106" i="2"/>
  <c r="B1106" i="2"/>
  <c r="F1250" i="2"/>
  <c r="H1250" i="2" s="1"/>
  <c r="B1250" i="2"/>
  <c r="E1250" i="2"/>
  <c r="A1250" i="2"/>
  <c r="A1539" i="2"/>
  <c r="E1539" i="2"/>
  <c r="B1539" i="2"/>
  <c r="F1539" i="2"/>
  <c r="H1539" i="2" s="1"/>
  <c r="F1592" i="2"/>
  <c r="H1592" i="2" s="1"/>
  <c r="E1592" i="2"/>
  <c r="A1592" i="2"/>
  <c r="B1592" i="2"/>
  <c r="A1775" i="2"/>
  <c r="F1775" i="2"/>
  <c r="H1775" i="2" s="1"/>
  <c r="E1775" i="2"/>
  <c r="B1775" i="2"/>
  <c r="F1526" i="2"/>
  <c r="H1526" i="2" s="1"/>
  <c r="E1526" i="2"/>
  <c r="B1526" i="2"/>
  <c r="A1526" i="2"/>
  <c r="A1719" i="2"/>
  <c r="B1719" i="2"/>
  <c r="F1719" i="2"/>
  <c r="H1719" i="2" s="1"/>
  <c r="E1719" i="2"/>
  <c r="E1867" i="2"/>
  <c r="A1867" i="2"/>
  <c r="B1867" i="2"/>
  <c r="F1867" i="2"/>
  <c r="H1867" i="2" s="1"/>
  <c r="A1727" i="2"/>
  <c r="F1727" i="2"/>
  <c r="H1727" i="2" s="1"/>
  <c r="E1727" i="2"/>
  <c r="B1727" i="2"/>
  <c r="F1588" i="2"/>
  <c r="H1588" i="2" s="1"/>
  <c r="B1588" i="2"/>
  <c r="A1588" i="2"/>
  <c r="E1588" i="2"/>
  <c r="E1816" i="2"/>
  <c r="B1816" i="2"/>
  <c r="A1816" i="2"/>
  <c r="F1816" i="2"/>
  <c r="H1816" i="2" s="1"/>
  <c r="F1828" i="2"/>
  <c r="H1828" i="2" s="1"/>
  <c r="B1828" i="2"/>
  <c r="A1828" i="2"/>
  <c r="E1828" i="2"/>
  <c r="B2011" i="2"/>
  <c r="A2011" i="2"/>
  <c r="F2011" i="2"/>
  <c r="H2011" i="2" s="1"/>
  <c r="E2011" i="2"/>
  <c r="E1884" i="2"/>
  <c r="F1884" i="2"/>
  <c r="H1884" i="2" s="1"/>
  <c r="B1884" i="2"/>
  <c r="A1884" i="2"/>
  <c r="F1980" i="2"/>
  <c r="H1980" i="2" s="1"/>
  <c r="E1980" i="2"/>
  <c r="B1980" i="2"/>
  <c r="A1980" i="2"/>
  <c r="A2188" i="2"/>
  <c r="B2188" i="2"/>
  <c r="F2188" i="2"/>
  <c r="H2188" i="2" s="1"/>
  <c r="E2188" i="2"/>
  <c r="B1889" i="2"/>
  <c r="F1889" i="2"/>
  <c r="H1889" i="2" s="1"/>
  <c r="E1889" i="2"/>
  <c r="A1889" i="2"/>
  <c r="E1985" i="2"/>
  <c r="B1985" i="2"/>
  <c r="A1985" i="2"/>
  <c r="F1985" i="2"/>
  <c r="H1985" i="2" s="1"/>
  <c r="E2288" i="2"/>
  <c r="A2288" i="2"/>
  <c r="B2288" i="2"/>
  <c r="F2288" i="2"/>
  <c r="H2288" i="2" s="1"/>
  <c r="B2315" i="2"/>
  <c r="E2315" i="2"/>
  <c r="A2315" i="2"/>
  <c r="F2315" i="2"/>
  <c r="H2315" i="2" s="1"/>
  <c r="A2614" i="2"/>
  <c r="B2614" i="2"/>
  <c r="F2614" i="2"/>
  <c r="H2614" i="2" s="1"/>
  <c r="E2614" i="2"/>
  <c r="B2193" i="2"/>
  <c r="E2193" i="2"/>
  <c r="A2193" i="2"/>
  <c r="F2193" i="2"/>
  <c r="H2193" i="2" s="1"/>
  <c r="F2299" i="2"/>
  <c r="H2299" i="2" s="1"/>
  <c r="E2299" i="2"/>
  <c r="B2299" i="2"/>
  <c r="A2299" i="2"/>
  <c r="E2668" i="2"/>
  <c r="A2668" i="2"/>
  <c r="F2668" i="2"/>
  <c r="H2668" i="2" s="1"/>
  <c r="B2668" i="2"/>
  <c r="E2631" i="2"/>
  <c r="A2631" i="2"/>
  <c r="F2631" i="2"/>
  <c r="H2631" i="2" s="1"/>
  <c r="B2631" i="2"/>
  <c r="E2361" i="2"/>
  <c r="A2361" i="2"/>
  <c r="F2361" i="2"/>
  <c r="H2361" i="2" s="1"/>
  <c r="B2361" i="2"/>
  <c r="E2433" i="2"/>
  <c r="A2433" i="2"/>
  <c r="F2433" i="2"/>
  <c r="H2433" i="2" s="1"/>
  <c r="B2433" i="2"/>
  <c r="E2505" i="2"/>
  <c r="A2505" i="2"/>
  <c r="F2505" i="2"/>
  <c r="H2505" i="2" s="1"/>
  <c r="B2505" i="2"/>
  <c r="E2635" i="2"/>
  <c r="A2635" i="2"/>
  <c r="F2635" i="2"/>
  <c r="H2635" i="2" s="1"/>
  <c r="B2635" i="2"/>
  <c r="B286" i="2"/>
  <c r="A286" i="2"/>
  <c r="F286" i="2"/>
  <c r="H286" i="2" s="1"/>
  <c r="E286" i="2"/>
  <c r="B1071" i="2"/>
  <c r="A1071" i="2"/>
  <c r="F1071" i="2"/>
  <c r="H1071" i="2" s="1"/>
  <c r="E1071" i="2"/>
  <c r="F229" i="2"/>
  <c r="H229" i="2" s="1"/>
  <c r="E229" i="2"/>
  <c r="B229" i="2"/>
  <c r="A229" i="2"/>
  <c r="E240" i="2"/>
  <c r="B240" i="2"/>
  <c r="A240" i="2"/>
  <c r="F240" i="2"/>
  <c r="H240" i="2" s="1"/>
  <c r="F243" i="2"/>
  <c r="H243" i="2" s="1"/>
  <c r="E243" i="2"/>
  <c r="B243" i="2"/>
  <c r="A243" i="2"/>
  <c r="F317" i="2"/>
  <c r="H317" i="2" s="1"/>
  <c r="E317" i="2"/>
  <c r="A317" i="2"/>
  <c r="B317" i="2"/>
  <c r="F413" i="2"/>
  <c r="H413" i="2" s="1"/>
  <c r="E413" i="2"/>
  <c r="A413" i="2"/>
  <c r="B413" i="2"/>
  <c r="F755" i="2"/>
  <c r="H755" i="2" s="1"/>
  <c r="B755" i="2"/>
  <c r="A755" i="2"/>
  <c r="E755" i="2"/>
  <c r="F297" i="2"/>
  <c r="H297" i="2" s="1"/>
  <c r="A297" i="2"/>
  <c r="E297" i="2"/>
  <c r="B297" i="2"/>
  <c r="F339" i="2"/>
  <c r="H339" i="2" s="1"/>
  <c r="E339" i="2"/>
  <c r="A339" i="2"/>
  <c r="B339" i="2"/>
  <c r="F113" i="2"/>
  <c r="H113" i="2" s="1"/>
  <c r="E113" i="2"/>
  <c r="B113" i="2"/>
  <c r="A113" i="2"/>
  <c r="E84" i="2"/>
  <c r="B84" i="2"/>
  <c r="A84" i="2"/>
  <c r="F84" i="2"/>
  <c r="H84" i="2" s="1"/>
  <c r="B893" i="2"/>
  <c r="A893" i="2"/>
  <c r="F893" i="2"/>
  <c r="H893" i="2" s="1"/>
  <c r="E893" i="2"/>
  <c r="E585" i="2"/>
  <c r="B585" i="2"/>
  <c r="A585" i="2"/>
  <c r="F585" i="2"/>
  <c r="H585" i="2" s="1"/>
  <c r="A464" i="2"/>
  <c r="E464" i="2"/>
  <c r="B464" i="2"/>
  <c r="F464" i="2"/>
  <c r="H464" i="2" s="1"/>
  <c r="A723" i="2"/>
  <c r="F723" i="2"/>
  <c r="H723" i="2" s="1"/>
  <c r="B723" i="2"/>
  <c r="E723" i="2"/>
  <c r="F484" i="2"/>
  <c r="H484" i="2" s="1"/>
  <c r="E484" i="2"/>
  <c r="B484" i="2"/>
  <c r="A484" i="2"/>
  <c r="F701" i="2"/>
  <c r="H701" i="2" s="1"/>
  <c r="E701" i="2"/>
  <c r="A701" i="2"/>
  <c r="B701" i="2"/>
  <c r="E976" i="2"/>
  <c r="B976" i="2"/>
  <c r="F976" i="2"/>
  <c r="H976" i="2" s="1"/>
  <c r="A976" i="2"/>
  <c r="F643" i="2"/>
  <c r="H643" i="2" s="1"/>
  <c r="E643" i="2"/>
  <c r="B643" i="2"/>
  <c r="A643" i="2"/>
  <c r="F476" i="2"/>
  <c r="H476" i="2" s="1"/>
  <c r="E476" i="2"/>
  <c r="B476" i="2"/>
  <c r="A476" i="2"/>
  <c r="E800" i="2"/>
  <c r="B800" i="2"/>
  <c r="A800" i="2"/>
  <c r="F800" i="2"/>
  <c r="H800" i="2" s="1"/>
  <c r="E886" i="2"/>
  <c r="B886" i="2"/>
  <c r="F886" i="2"/>
  <c r="H886" i="2" s="1"/>
  <c r="A886" i="2"/>
  <c r="E982" i="2"/>
  <c r="B982" i="2"/>
  <c r="F982" i="2"/>
  <c r="H982" i="2" s="1"/>
  <c r="A982" i="2"/>
  <c r="B1049" i="2"/>
  <c r="F1049" i="2"/>
  <c r="H1049" i="2" s="1"/>
  <c r="E1049" i="2"/>
  <c r="A1049" i="2"/>
  <c r="E566" i="2"/>
  <c r="F566" i="2"/>
  <c r="H566" i="2" s="1"/>
  <c r="B566" i="2"/>
  <c r="A566" i="2"/>
  <c r="E614" i="2"/>
  <c r="F614" i="2"/>
  <c r="H614" i="2" s="1"/>
  <c r="B614" i="2"/>
  <c r="A614" i="2"/>
  <c r="E662" i="2"/>
  <c r="F662" i="2"/>
  <c r="H662" i="2" s="1"/>
  <c r="B662" i="2"/>
  <c r="A662" i="2"/>
  <c r="E710" i="2"/>
  <c r="F710" i="2"/>
  <c r="H710" i="2" s="1"/>
  <c r="B710" i="2"/>
  <c r="A710" i="2"/>
  <c r="F1127" i="2"/>
  <c r="H1127" i="2" s="1"/>
  <c r="E1127" i="2"/>
  <c r="B1127" i="2"/>
  <c r="A1127" i="2"/>
  <c r="F889" i="2"/>
  <c r="H889" i="2" s="1"/>
  <c r="E889" i="2"/>
  <c r="B889" i="2"/>
  <c r="A889" i="2"/>
  <c r="F985" i="2"/>
  <c r="H985" i="2" s="1"/>
  <c r="E985" i="2"/>
  <c r="B985" i="2"/>
  <c r="A985" i="2"/>
  <c r="B1243" i="2"/>
  <c r="A1243" i="2"/>
  <c r="F1243" i="2"/>
  <c r="H1243" i="2" s="1"/>
  <c r="E1243" i="2"/>
  <c r="F793" i="2"/>
  <c r="H793" i="2" s="1"/>
  <c r="E793" i="2"/>
  <c r="B793" i="2"/>
  <c r="A793" i="2"/>
  <c r="F927" i="2"/>
  <c r="H927" i="2" s="1"/>
  <c r="E927" i="2"/>
  <c r="B927" i="2"/>
  <c r="A927" i="2"/>
  <c r="F1023" i="2"/>
  <c r="H1023" i="2" s="1"/>
  <c r="E1023" i="2"/>
  <c r="B1023" i="2"/>
  <c r="A1023" i="2"/>
  <c r="A1169" i="2"/>
  <c r="F1169" i="2"/>
  <c r="H1169" i="2" s="1"/>
  <c r="E1169" i="2"/>
  <c r="B1169" i="2"/>
  <c r="F1293" i="2"/>
  <c r="H1293" i="2" s="1"/>
  <c r="B1293" i="2"/>
  <c r="A1293" i="2"/>
  <c r="E1293" i="2"/>
  <c r="F1191" i="2"/>
  <c r="H1191" i="2" s="1"/>
  <c r="E1191" i="2"/>
  <c r="B1191" i="2"/>
  <c r="A1191" i="2"/>
  <c r="B1630" i="2"/>
  <c r="A1630" i="2"/>
  <c r="F1630" i="2"/>
  <c r="H1630" i="2" s="1"/>
  <c r="E1630" i="2"/>
  <c r="F1291" i="2"/>
  <c r="H1291" i="2" s="1"/>
  <c r="E1291" i="2"/>
  <c r="B1291" i="2"/>
  <c r="A1291" i="2"/>
  <c r="A1487" i="2"/>
  <c r="F1487" i="2"/>
  <c r="H1487" i="2" s="1"/>
  <c r="E1487" i="2"/>
  <c r="B1487" i="2"/>
  <c r="A1427" i="2"/>
  <c r="E1427" i="2"/>
  <c r="B1427" i="2"/>
  <c r="F1427" i="2"/>
  <c r="H1427" i="2" s="1"/>
  <c r="E1374" i="2"/>
  <c r="B1374" i="2"/>
  <c r="F1374" i="2"/>
  <c r="H1374" i="2" s="1"/>
  <c r="A1374" i="2"/>
  <c r="A1509" i="2"/>
  <c r="F1509" i="2"/>
  <c r="H1509" i="2" s="1"/>
  <c r="E1509" i="2"/>
  <c r="B1509" i="2"/>
  <c r="A1477" i="2"/>
  <c r="F1477" i="2"/>
  <c r="H1477" i="2" s="1"/>
  <c r="E1477" i="2"/>
  <c r="B1477" i="2"/>
  <c r="B1108" i="2"/>
  <c r="F1108" i="2"/>
  <c r="H1108" i="2" s="1"/>
  <c r="E1108" i="2"/>
  <c r="A1108" i="2"/>
  <c r="F1156" i="2"/>
  <c r="H1156" i="2" s="1"/>
  <c r="E1156" i="2"/>
  <c r="B1156" i="2"/>
  <c r="A1156" i="2"/>
  <c r="F1204" i="2"/>
  <c r="H1204" i="2" s="1"/>
  <c r="B1204" i="2"/>
  <c r="E1204" i="2"/>
  <c r="A1204" i="2"/>
  <c r="F1252" i="2"/>
  <c r="H1252" i="2" s="1"/>
  <c r="B1252" i="2"/>
  <c r="E1252" i="2"/>
  <c r="A1252" i="2"/>
  <c r="F1300" i="2"/>
  <c r="H1300" i="2" s="1"/>
  <c r="E1300" i="2"/>
  <c r="B1300" i="2"/>
  <c r="A1300" i="2"/>
  <c r="E1360" i="2"/>
  <c r="B1360" i="2"/>
  <c r="F1360" i="2"/>
  <c r="H1360" i="2" s="1"/>
  <c r="A1360" i="2"/>
  <c r="B1670" i="2"/>
  <c r="A1670" i="2"/>
  <c r="F1670" i="2"/>
  <c r="H1670" i="2" s="1"/>
  <c r="E1670" i="2"/>
  <c r="F1365" i="2"/>
  <c r="H1365" i="2" s="1"/>
  <c r="E1365" i="2"/>
  <c r="B1365" i="2"/>
  <c r="A1365" i="2"/>
  <c r="A1681" i="2"/>
  <c r="E1681" i="2"/>
  <c r="B1681" i="2"/>
  <c r="F1681" i="2"/>
  <c r="H1681" i="2" s="1"/>
  <c r="E1486" i="2"/>
  <c r="B1486" i="2"/>
  <c r="A1486" i="2"/>
  <c r="F1486" i="2"/>
  <c r="H1486" i="2" s="1"/>
  <c r="A1593" i="2"/>
  <c r="F1593" i="2"/>
  <c r="H1593" i="2" s="1"/>
  <c r="E1593" i="2"/>
  <c r="B1593" i="2"/>
  <c r="A1447" i="2"/>
  <c r="E1447" i="2"/>
  <c r="F1447" i="2"/>
  <c r="H1447" i="2" s="1"/>
  <c r="B1447" i="2"/>
  <c r="A1676" i="2"/>
  <c r="F1676" i="2"/>
  <c r="H1676" i="2" s="1"/>
  <c r="E1676" i="2"/>
  <c r="B1676" i="2"/>
  <c r="A1529" i="2"/>
  <c r="F1529" i="2"/>
  <c r="H1529" i="2" s="1"/>
  <c r="E1529" i="2"/>
  <c r="B1529" i="2"/>
  <c r="A1736" i="2"/>
  <c r="F1736" i="2"/>
  <c r="H1736" i="2" s="1"/>
  <c r="E1736" i="2"/>
  <c r="B1736" i="2"/>
  <c r="F1647" i="2"/>
  <c r="H1647" i="2" s="1"/>
  <c r="E1647" i="2"/>
  <c r="B1647" i="2"/>
  <c r="A1647" i="2"/>
  <c r="F1872" i="2"/>
  <c r="H1872" i="2" s="1"/>
  <c r="E1872" i="2"/>
  <c r="B1872" i="2"/>
  <c r="A1872" i="2"/>
  <c r="F1819" i="2"/>
  <c r="H1819" i="2" s="1"/>
  <c r="E1819" i="2"/>
  <c r="B1819" i="2"/>
  <c r="A1819" i="2"/>
  <c r="F1594" i="2"/>
  <c r="H1594" i="2" s="1"/>
  <c r="E1594" i="2"/>
  <c r="B1594" i="2"/>
  <c r="A1594" i="2"/>
  <c r="F1664" i="2"/>
  <c r="H1664" i="2" s="1"/>
  <c r="E1664" i="2"/>
  <c r="B1664" i="2"/>
  <c r="A1664" i="2"/>
  <c r="A1725" i="2"/>
  <c r="F1725" i="2"/>
  <c r="H1725" i="2" s="1"/>
  <c r="E1725" i="2"/>
  <c r="B1725" i="2"/>
  <c r="F1742" i="2"/>
  <c r="H1742" i="2" s="1"/>
  <c r="E1742" i="2"/>
  <c r="B1742" i="2"/>
  <c r="A1742" i="2"/>
  <c r="F1794" i="2"/>
  <c r="H1794" i="2" s="1"/>
  <c r="B1794" i="2"/>
  <c r="A1794" i="2"/>
  <c r="E1794" i="2"/>
  <c r="B2044" i="2"/>
  <c r="E2044" i="2"/>
  <c r="A2044" i="2"/>
  <c r="F2044" i="2"/>
  <c r="H2044" i="2" s="1"/>
  <c r="F1840" i="2"/>
  <c r="H1840" i="2" s="1"/>
  <c r="B1840" i="2"/>
  <c r="A1840" i="2"/>
  <c r="E1840" i="2"/>
  <c r="B2013" i="2"/>
  <c r="E2013" i="2"/>
  <c r="F2013" i="2"/>
  <c r="H2013" i="2" s="1"/>
  <c r="A2013" i="2"/>
  <c r="B2025" i="2"/>
  <c r="A2025" i="2"/>
  <c r="F2025" i="2"/>
  <c r="H2025" i="2" s="1"/>
  <c r="E2025" i="2"/>
  <c r="B2037" i="2"/>
  <c r="A2037" i="2"/>
  <c r="F2037" i="2"/>
  <c r="H2037" i="2" s="1"/>
  <c r="E2037" i="2"/>
  <c r="A2144" i="2"/>
  <c r="F2144" i="2"/>
  <c r="H2144" i="2" s="1"/>
  <c r="E2144" i="2"/>
  <c r="B2144" i="2"/>
  <c r="F1910" i="2"/>
  <c r="H1910" i="2" s="1"/>
  <c r="E1910" i="2"/>
  <c r="B1910" i="2"/>
  <c r="A1910" i="2"/>
  <c r="F1958" i="2"/>
  <c r="H1958" i="2" s="1"/>
  <c r="E1958" i="2"/>
  <c r="B1958" i="2"/>
  <c r="A1958" i="2"/>
  <c r="F1982" i="2"/>
  <c r="H1982" i="2" s="1"/>
  <c r="E1982" i="2"/>
  <c r="B1982" i="2"/>
  <c r="A1982" i="2"/>
  <c r="B2141" i="2"/>
  <c r="A2141" i="2"/>
  <c r="F2141" i="2"/>
  <c r="H2141" i="2" s="1"/>
  <c r="E2141" i="2"/>
  <c r="E2292" i="2"/>
  <c r="A2292" i="2"/>
  <c r="B2292" i="2"/>
  <c r="F2292" i="2"/>
  <c r="H2292" i="2" s="1"/>
  <c r="B2066" i="2"/>
  <c r="E2066" i="2"/>
  <c r="F2066" i="2"/>
  <c r="H2066" i="2" s="1"/>
  <c r="A2066" i="2"/>
  <c r="B2235" i="2"/>
  <c r="F2235" i="2"/>
  <c r="H2235" i="2" s="1"/>
  <c r="E2235" i="2"/>
  <c r="A2235" i="2"/>
  <c r="F1915" i="2"/>
  <c r="H1915" i="2" s="1"/>
  <c r="E1915" i="2"/>
  <c r="B1915" i="2"/>
  <c r="A1915" i="2"/>
  <c r="F1963" i="2"/>
  <c r="H1963" i="2" s="1"/>
  <c r="B1963" i="2"/>
  <c r="A1963" i="2"/>
  <c r="E1963" i="2"/>
  <c r="B2040" i="2"/>
  <c r="F2040" i="2"/>
  <c r="H2040" i="2" s="1"/>
  <c r="E2040" i="2"/>
  <c r="A2040" i="2"/>
  <c r="F2468" i="2"/>
  <c r="H2468" i="2" s="1"/>
  <c r="A2468" i="2"/>
  <c r="B2468" i="2"/>
  <c r="E2468" i="2"/>
  <c r="A2170" i="2"/>
  <c r="F2170" i="2"/>
  <c r="H2170" i="2" s="1"/>
  <c r="E2170" i="2"/>
  <c r="B2170" i="2"/>
  <c r="E2325" i="2"/>
  <c r="B2325" i="2"/>
  <c r="A2325" i="2"/>
  <c r="F2325" i="2"/>
  <c r="H2325" i="2" s="1"/>
  <c r="E2378" i="2"/>
  <c r="A2378" i="2"/>
  <c r="F2378" i="2"/>
  <c r="H2378" i="2" s="1"/>
  <c r="B2378" i="2"/>
  <c r="A2651" i="2"/>
  <c r="F2651" i="2"/>
  <c r="H2651" i="2" s="1"/>
  <c r="E2651" i="2"/>
  <c r="B2651" i="2"/>
  <c r="A2460" i="2"/>
  <c r="B2460" i="2"/>
  <c r="F2460" i="2"/>
  <c r="H2460" i="2" s="1"/>
  <c r="E2460" i="2"/>
  <c r="F2195" i="2"/>
  <c r="H2195" i="2" s="1"/>
  <c r="E2195" i="2"/>
  <c r="B2195" i="2"/>
  <c r="A2195" i="2"/>
  <c r="A2390" i="2"/>
  <c r="F2390" i="2"/>
  <c r="H2390" i="2" s="1"/>
  <c r="E2390" i="2"/>
  <c r="B2390" i="2"/>
  <c r="B885" i="2"/>
  <c r="A885" i="2"/>
  <c r="F885" i="2"/>
  <c r="H885" i="2" s="1"/>
  <c r="E885" i="2"/>
  <c r="A492" i="2"/>
  <c r="E492" i="2"/>
  <c r="B492" i="2"/>
  <c r="F492" i="2"/>
  <c r="H492" i="2" s="1"/>
  <c r="A236" i="2"/>
  <c r="E236" i="2"/>
  <c r="B236" i="2"/>
  <c r="F236" i="2"/>
  <c r="H236" i="2" s="1"/>
  <c r="F242" i="2"/>
  <c r="H242" i="2" s="1"/>
  <c r="E242" i="2"/>
  <c r="B242" i="2"/>
  <c r="A242" i="2"/>
  <c r="F326" i="2"/>
  <c r="H326" i="2" s="1"/>
  <c r="E326" i="2"/>
  <c r="B326" i="2"/>
  <c r="A326" i="2"/>
  <c r="F374" i="2"/>
  <c r="H374" i="2" s="1"/>
  <c r="E374" i="2"/>
  <c r="B374" i="2"/>
  <c r="A374" i="2"/>
  <c r="B481" i="2"/>
  <c r="A481" i="2"/>
  <c r="F481" i="2"/>
  <c r="H481" i="2" s="1"/>
  <c r="E481" i="2"/>
  <c r="F251" i="2"/>
  <c r="H251" i="2" s="1"/>
  <c r="B251" i="2"/>
  <c r="A251" i="2"/>
  <c r="E251" i="2"/>
  <c r="B29" i="2"/>
  <c r="A29" i="2"/>
  <c r="F29" i="2"/>
  <c r="H29" i="2" s="1"/>
  <c r="E29" i="2"/>
  <c r="A53" i="2"/>
  <c r="B53" i="2"/>
  <c r="F53" i="2"/>
  <c r="H53" i="2" s="1"/>
  <c r="E53" i="2"/>
  <c r="B77" i="2"/>
  <c r="A77" i="2"/>
  <c r="F77" i="2"/>
  <c r="H77" i="2" s="1"/>
  <c r="E77" i="2"/>
  <c r="B112" i="2"/>
  <c r="A112" i="2"/>
  <c r="F112" i="2"/>
  <c r="H112" i="2" s="1"/>
  <c r="E112" i="2"/>
  <c r="A256" i="2"/>
  <c r="F256" i="2"/>
  <c r="H256" i="2" s="1"/>
  <c r="E256" i="2"/>
  <c r="B256" i="2"/>
  <c r="B1195" i="2"/>
  <c r="A1195" i="2"/>
  <c r="F1195" i="2"/>
  <c r="H1195" i="2" s="1"/>
  <c r="E1195" i="2"/>
  <c r="F230" i="2"/>
  <c r="H230" i="2" s="1"/>
  <c r="E230" i="2"/>
  <c r="B230" i="2"/>
  <c r="A230" i="2"/>
  <c r="F322" i="2"/>
  <c r="H322" i="2" s="1"/>
  <c r="E322" i="2"/>
  <c r="B322" i="2"/>
  <c r="A322" i="2"/>
  <c r="F370" i="2"/>
  <c r="H370" i="2" s="1"/>
  <c r="B370" i="2"/>
  <c r="E370" i="2"/>
  <c r="A370" i="2"/>
  <c r="A416" i="2"/>
  <c r="F416" i="2"/>
  <c r="H416" i="2" s="1"/>
  <c r="E416" i="2"/>
  <c r="B416" i="2"/>
  <c r="F215" i="2"/>
  <c r="H215" i="2" s="1"/>
  <c r="E215" i="2"/>
  <c r="B215" i="2"/>
  <c r="A215" i="2"/>
  <c r="E770" i="2"/>
  <c r="B770" i="2"/>
  <c r="A770" i="2"/>
  <c r="F770" i="2"/>
  <c r="H770" i="2" s="1"/>
  <c r="F178" i="2"/>
  <c r="H178" i="2" s="1"/>
  <c r="E178" i="2"/>
  <c r="B178" i="2"/>
  <c r="A178" i="2"/>
  <c r="F304" i="2"/>
  <c r="H304" i="2" s="1"/>
  <c r="E304" i="2"/>
  <c r="B304" i="2"/>
  <c r="A304" i="2"/>
  <c r="F115" i="2"/>
  <c r="H115" i="2" s="1"/>
  <c r="E115" i="2"/>
  <c r="B115" i="2"/>
  <c r="A115" i="2"/>
  <c r="F259" i="2"/>
  <c r="H259" i="2" s="1"/>
  <c r="E259" i="2"/>
  <c r="B259" i="2"/>
  <c r="A259" i="2"/>
  <c r="F344" i="2"/>
  <c r="H344" i="2" s="1"/>
  <c r="E344" i="2"/>
  <c r="B344" i="2"/>
  <c r="A344" i="2"/>
  <c r="F392" i="2"/>
  <c r="H392" i="2" s="1"/>
  <c r="E392" i="2"/>
  <c r="B392" i="2"/>
  <c r="A392" i="2"/>
  <c r="F126" i="2"/>
  <c r="H126" i="2" s="1"/>
  <c r="E126" i="2"/>
  <c r="B126" i="2"/>
  <c r="A126" i="2"/>
  <c r="F270" i="2"/>
  <c r="H270" i="2" s="1"/>
  <c r="E270" i="2"/>
  <c r="B270" i="2"/>
  <c r="A270" i="2"/>
  <c r="E86" i="2"/>
  <c r="B86" i="2"/>
  <c r="A86" i="2"/>
  <c r="F86" i="2"/>
  <c r="H86" i="2" s="1"/>
  <c r="F159" i="2"/>
  <c r="H159" i="2" s="1"/>
  <c r="E159" i="2"/>
  <c r="B159" i="2"/>
  <c r="A159" i="2"/>
  <c r="B453" i="2"/>
  <c r="A453" i="2"/>
  <c r="F453" i="2"/>
  <c r="H453" i="2" s="1"/>
  <c r="E453" i="2"/>
  <c r="F474" i="2"/>
  <c r="H474" i="2" s="1"/>
  <c r="E474" i="2"/>
  <c r="B474" i="2"/>
  <c r="A474" i="2"/>
  <c r="E904" i="2"/>
  <c r="B904" i="2"/>
  <c r="F904" i="2"/>
  <c r="H904" i="2" s="1"/>
  <c r="A904" i="2"/>
  <c r="E459" i="2"/>
  <c r="B459" i="2"/>
  <c r="A459" i="2"/>
  <c r="F459" i="2"/>
  <c r="H459" i="2" s="1"/>
  <c r="E593" i="2"/>
  <c r="B593" i="2"/>
  <c r="A593" i="2"/>
  <c r="F593" i="2"/>
  <c r="H593" i="2" s="1"/>
  <c r="E689" i="2"/>
  <c r="B689" i="2"/>
  <c r="A689" i="2"/>
  <c r="F689" i="2"/>
  <c r="H689" i="2" s="1"/>
  <c r="A475" i="2"/>
  <c r="F475" i="2"/>
  <c r="H475" i="2" s="1"/>
  <c r="E475" i="2"/>
  <c r="B475" i="2"/>
  <c r="B1099" i="2"/>
  <c r="A1099" i="2"/>
  <c r="F1099" i="2"/>
  <c r="H1099" i="2" s="1"/>
  <c r="E1099" i="2"/>
  <c r="A729" i="2"/>
  <c r="F729" i="2"/>
  <c r="H729" i="2" s="1"/>
  <c r="E729" i="2"/>
  <c r="B729" i="2"/>
  <c r="B973" i="2"/>
  <c r="A973" i="2"/>
  <c r="F973" i="2"/>
  <c r="H973" i="2" s="1"/>
  <c r="E973" i="2"/>
  <c r="F495" i="2"/>
  <c r="H495" i="2" s="1"/>
  <c r="E495" i="2"/>
  <c r="B495" i="2"/>
  <c r="A495" i="2"/>
  <c r="F613" i="2"/>
  <c r="H613" i="2" s="1"/>
  <c r="E613" i="2"/>
  <c r="B613" i="2"/>
  <c r="A613" i="2"/>
  <c r="F709" i="2"/>
  <c r="H709" i="2" s="1"/>
  <c r="E709" i="2"/>
  <c r="B709" i="2"/>
  <c r="A709" i="2"/>
  <c r="F506" i="2"/>
  <c r="H506" i="2" s="1"/>
  <c r="E506" i="2"/>
  <c r="B506" i="2"/>
  <c r="A506" i="2"/>
  <c r="F456" i="2"/>
  <c r="H456" i="2" s="1"/>
  <c r="E456" i="2"/>
  <c r="B456" i="2"/>
  <c r="A456" i="2"/>
  <c r="E776" i="2"/>
  <c r="B776" i="2"/>
  <c r="F776" i="2"/>
  <c r="H776" i="2" s="1"/>
  <c r="A776" i="2"/>
  <c r="B997" i="2"/>
  <c r="A997" i="2"/>
  <c r="F997" i="2"/>
  <c r="H997" i="2" s="1"/>
  <c r="E997" i="2"/>
  <c r="F526" i="2"/>
  <c r="H526" i="2" s="1"/>
  <c r="E526" i="2"/>
  <c r="B526" i="2"/>
  <c r="A526" i="2"/>
  <c r="F651" i="2"/>
  <c r="H651" i="2" s="1"/>
  <c r="E651" i="2"/>
  <c r="B651" i="2"/>
  <c r="A651" i="2"/>
  <c r="A739" i="2"/>
  <c r="F739" i="2"/>
  <c r="H739" i="2" s="1"/>
  <c r="E739" i="2"/>
  <c r="B739" i="2"/>
  <c r="F487" i="2"/>
  <c r="H487" i="2" s="1"/>
  <c r="E487" i="2"/>
  <c r="B487" i="2"/>
  <c r="A487" i="2"/>
  <c r="E828" i="2"/>
  <c r="B828" i="2"/>
  <c r="F828" i="2"/>
  <c r="H828" i="2" s="1"/>
  <c r="A828" i="2"/>
  <c r="E813" i="2"/>
  <c r="B813" i="2"/>
  <c r="A813" i="2"/>
  <c r="F813" i="2"/>
  <c r="H813" i="2" s="1"/>
  <c r="A843" i="2"/>
  <c r="F843" i="2"/>
  <c r="H843" i="2" s="1"/>
  <c r="E843" i="2"/>
  <c r="B843" i="2"/>
  <c r="A891" i="2"/>
  <c r="F891" i="2"/>
  <c r="H891" i="2" s="1"/>
  <c r="E891" i="2"/>
  <c r="B891" i="2"/>
  <c r="A939" i="2"/>
  <c r="F939" i="2"/>
  <c r="H939" i="2" s="1"/>
  <c r="E939" i="2"/>
  <c r="B939" i="2"/>
  <c r="A987" i="2"/>
  <c r="F987" i="2"/>
  <c r="H987" i="2" s="1"/>
  <c r="E987" i="2"/>
  <c r="B987" i="2"/>
  <c r="A1035" i="2"/>
  <c r="F1035" i="2"/>
  <c r="H1035" i="2" s="1"/>
  <c r="E1035" i="2"/>
  <c r="B1035" i="2"/>
  <c r="B1055" i="2"/>
  <c r="F1055" i="2"/>
  <c r="H1055" i="2" s="1"/>
  <c r="E1055" i="2"/>
  <c r="A1055" i="2"/>
  <c r="F544" i="2"/>
  <c r="H544" i="2" s="1"/>
  <c r="E544" i="2"/>
  <c r="B544" i="2"/>
  <c r="A544" i="2"/>
  <c r="E568" i="2"/>
  <c r="F568" i="2"/>
  <c r="H568" i="2" s="1"/>
  <c r="B568" i="2"/>
  <c r="A568" i="2"/>
  <c r="E592" i="2"/>
  <c r="F592" i="2"/>
  <c r="H592" i="2" s="1"/>
  <c r="B592" i="2"/>
  <c r="A592" i="2"/>
  <c r="E616" i="2"/>
  <c r="F616" i="2"/>
  <c r="H616" i="2" s="1"/>
  <c r="B616" i="2"/>
  <c r="A616" i="2"/>
  <c r="E640" i="2"/>
  <c r="F640" i="2"/>
  <c r="H640" i="2" s="1"/>
  <c r="B640" i="2"/>
  <c r="A640" i="2"/>
  <c r="E664" i="2"/>
  <c r="F664" i="2"/>
  <c r="H664" i="2" s="1"/>
  <c r="B664" i="2"/>
  <c r="A664" i="2"/>
  <c r="E688" i="2"/>
  <c r="F688" i="2"/>
  <c r="H688" i="2" s="1"/>
  <c r="B688" i="2"/>
  <c r="A688" i="2"/>
  <c r="E712" i="2"/>
  <c r="F712" i="2"/>
  <c r="H712" i="2" s="1"/>
  <c r="B712" i="2"/>
  <c r="A712" i="2"/>
  <c r="E736" i="2"/>
  <c r="F736" i="2"/>
  <c r="H736" i="2" s="1"/>
  <c r="B736" i="2"/>
  <c r="A736" i="2"/>
  <c r="B1389" i="2"/>
  <c r="A1389" i="2"/>
  <c r="F1389" i="2"/>
  <c r="H1389" i="2" s="1"/>
  <c r="E1389" i="2"/>
  <c r="E844" i="2"/>
  <c r="B844" i="2"/>
  <c r="F844" i="2"/>
  <c r="H844" i="2" s="1"/>
  <c r="A844" i="2"/>
  <c r="E892" i="2"/>
  <c r="B892" i="2"/>
  <c r="F892" i="2"/>
  <c r="H892" i="2" s="1"/>
  <c r="A892" i="2"/>
  <c r="E940" i="2"/>
  <c r="B940" i="2"/>
  <c r="F940" i="2"/>
  <c r="H940" i="2" s="1"/>
  <c r="A940" i="2"/>
  <c r="E988" i="2"/>
  <c r="B988" i="2"/>
  <c r="F988" i="2"/>
  <c r="H988" i="2" s="1"/>
  <c r="A988" i="2"/>
  <c r="E1036" i="2"/>
  <c r="B1036" i="2"/>
  <c r="F1036" i="2"/>
  <c r="H1036" i="2" s="1"/>
  <c r="A1036" i="2"/>
  <c r="B1265" i="2"/>
  <c r="A1265" i="2"/>
  <c r="F1265" i="2"/>
  <c r="H1265" i="2" s="1"/>
  <c r="E1265" i="2"/>
  <c r="B1057" i="2"/>
  <c r="F1057" i="2"/>
  <c r="H1057" i="2" s="1"/>
  <c r="E1057" i="2"/>
  <c r="A1057" i="2"/>
  <c r="E804" i="2"/>
  <c r="F804" i="2"/>
  <c r="H804" i="2" s="1"/>
  <c r="B804" i="2"/>
  <c r="A804" i="2"/>
  <c r="E882" i="2"/>
  <c r="B882" i="2"/>
  <c r="F882" i="2"/>
  <c r="H882" i="2" s="1"/>
  <c r="A882" i="2"/>
  <c r="E930" i="2"/>
  <c r="B930" i="2"/>
  <c r="F930" i="2"/>
  <c r="H930" i="2" s="1"/>
  <c r="A930" i="2"/>
  <c r="E978" i="2"/>
  <c r="B978" i="2"/>
  <c r="F978" i="2"/>
  <c r="H978" i="2" s="1"/>
  <c r="A978" i="2"/>
  <c r="E1026" i="2"/>
  <c r="B1026" i="2"/>
  <c r="F1026" i="2"/>
  <c r="H1026" i="2" s="1"/>
  <c r="A1026" i="2"/>
  <c r="E1149" i="2"/>
  <c r="B1149" i="2"/>
  <c r="A1149" i="2"/>
  <c r="F1149" i="2"/>
  <c r="H1149" i="2" s="1"/>
  <c r="A1177" i="2"/>
  <c r="F1177" i="2"/>
  <c r="H1177" i="2" s="1"/>
  <c r="E1177" i="2"/>
  <c r="B1177" i="2"/>
  <c r="A1415" i="2"/>
  <c r="B1415" i="2"/>
  <c r="E1415" i="2"/>
  <c r="F1415" i="2"/>
  <c r="H1415" i="2" s="1"/>
  <c r="B1301" i="2"/>
  <c r="A1301" i="2"/>
  <c r="F1301" i="2"/>
  <c r="H1301" i="2" s="1"/>
  <c r="E1301" i="2"/>
  <c r="F1167" i="2"/>
  <c r="H1167" i="2" s="1"/>
  <c r="E1167" i="2"/>
  <c r="B1167" i="2"/>
  <c r="A1167" i="2"/>
  <c r="F1199" i="2"/>
  <c r="H1199" i="2" s="1"/>
  <c r="E1199" i="2"/>
  <c r="B1199" i="2"/>
  <c r="A1199" i="2"/>
  <c r="A1483" i="2"/>
  <c r="B1483" i="2"/>
  <c r="F1483" i="2"/>
  <c r="H1483" i="2" s="1"/>
  <c r="E1483" i="2"/>
  <c r="F1042" i="2"/>
  <c r="H1042" i="2" s="1"/>
  <c r="E1042" i="2"/>
  <c r="B1042" i="2"/>
  <c r="A1042" i="2"/>
  <c r="F1066" i="2"/>
  <c r="H1066" i="2" s="1"/>
  <c r="E1066" i="2"/>
  <c r="B1066" i="2"/>
  <c r="A1066" i="2"/>
  <c r="E1303" i="2"/>
  <c r="B1303" i="2"/>
  <c r="A1303" i="2"/>
  <c r="F1303" i="2"/>
  <c r="H1303" i="2" s="1"/>
  <c r="F1197" i="2"/>
  <c r="H1197" i="2" s="1"/>
  <c r="E1197" i="2"/>
  <c r="B1197" i="2"/>
  <c r="A1197" i="2"/>
  <c r="A1501" i="2"/>
  <c r="B1501" i="2"/>
  <c r="F1501" i="2"/>
  <c r="H1501" i="2" s="1"/>
  <c r="E1501" i="2"/>
  <c r="B1674" i="2"/>
  <c r="A1674" i="2"/>
  <c r="F1674" i="2"/>
  <c r="H1674" i="2" s="1"/>
  <c r="E1674" i="2"/>
  <c r="A1469" i="2"/>
  <c r="F1469" i="2"/>
  <c r="H1469" i="2" s="1"/>
  <c r="E1469" i="2"/>
  <c r="B1469" i="2"/>
  <c r="A1311" i="2"/>
  <c r="E1311" i="2"/>
  <c r="B1311" i="2"/>
  <c r="F1311" i="2"/>
  <c r="H1311" i="2" s="1"/>
  <c r="A1379" i="2"/>
  <c r="F1379" i="2"/>
  <c r="H1379" i="2" s="1"/>
  <c r="E1379" i="2"/>
  <c r="B1379" i="2"/>
  <c r="A1697" i="2"/>
  <c r="B1697" i="2"/>
  <c r="F1697" i="2"/>
  <c r="H1697" i="2" s="1"/>
  <c r="E1697" i="2"/>
  <c r="F1530" i="2"/>
  <c r="H1530" i="2" s="1"/>
  <c r="E1530" i="2"/>
  <c r="A1530" i="2"/>
  <c r="B1530" i="2"/>
  <c r="F1345" i="2"/>
  <c r="H1345" i="2" s="1"/>
  <c r="E1345" i="2"/>
  <c r="B1345" i="2"/>
  <c r="A1345" i="2"/>
  <c r="A1491" i="2"/>
  <c r="F1491" i="2"/>
  <c r="H1491" i="2" s="1"/>
  <c r="E1491" i="2"/>
  <c r="B1491" i="2"/>
  <c r="A1086" i="2"/>
  <c r="E1086" i="2"/>
  <c r="F1086" i="2"/>
  <c r="H1086" i="2" s="1"/>
  <c r="B1086" i="2"/>
  <c r="A1110" i="2"/>
  <c r="E1110" i="2"/>
  <c r="B1110" i="2"/>
  <c r="F1110" i="2"/>
  <c r="H1110" i="2" s="1"/>
  <c r="A1134" i="2"/>
  <c r="E1134" i="2"/>
  <c r="F1134" i="2"/>
  <c r="H1134" i="2" s="1"/>
  <c r="B1134" i="2"/>
  <c r="F1158" i="2"/>
  <c r="H1158" i="2" s="1"/>
  <c r="E1158" i="2"/>
  <c r="B1158" i="2"/>
  <c r="A1158" i="2"/>
  <c r="F1182" i="2"/>
  <c r="H1182" i="2" s="1"/>
  <c r="B1182" i="2"/>
  <c r="A1182" i="2"/>
  <c r="E1182" i="2"/>
  <c r="F1206" i="2"/>
  <c r="H1206" i="2" s="1"/>
  <c r="B1206" i="2"/>
  <c r="A1206" i="2"/>
  <c r="E1206" i="2"/>
  <c r="F1230" i="2"/>
  <c r="H1230" i="2" s="1"/>
  <c r="B1230" i="2"/>
  <c r="A1230" i="2"/>
  <c r="E1230" i="2"/>
  <c r="F1254" i="2"/>
  <c r="H1254" i="2" s="1"/>
  <c r="B1254" i="2"/>
  <c r="A1254" i="2"/>
  <c r="E1254" i="2"/>
  <c r="F1278" i="2"/>
  <c r="H1278" i="2" s="1"/>
  <c r="B1278" i="2"/>
  <c r="E1278" i="2"/>
  <c r="A1278" i="2"/>
  <c r="E1372" i="2"/>
  <c r="B1372" i="2"/>
  <c r="F1372" i="2"/>
  <c r="H1372" i="2" s="1"/>
  <c r="A1372" i="2"/>
  <c r="B1637" i="2"/>
  <c r="A1637" i="2"/>
  <c r="F1637" i="2"/>
  <c r="H1637" i="2" s="1"/>
  <c r="E1637" i="2"/>
  <c r="F1367" i="2"/>
  <c r="H1367" i="2" s="1"/>
  <c r="E1367" i="2"/>
  <c r="B1367" i="2"/>
  <c r="A1367" i="2"/>
  <c r="A1687" i="2"/>
  <c r="F1687" i="2"/>
  <c r="H1687" i="2" s="1"/>
  <c r="E1687" i="2"/>
  <c r="B1687" i="2"/>
  <c r="F1671" i="2"/>
  <c r="H1671" i="2" s="1"/>
  <c r="E1671" i="2"/>
  <c r="B1671" i="2"/>
  <c r="A1671" i="2"/>
  <c r="E1370" i="2"/>
  <c r="B1370" i="2"/>
  <c r="F1370" i="2"/>
  <c r="H1370" i="2" s="1"/>
  <c r="A1370" i="2"/>
  <c r="A1569" i="2"/>
  <c r="E1569" i="2"/>
  <c r="B1569" i="2"/>
  <c r="F1569" i="2"/>
  <c r="H1569" i="2" s="1"/>
  <c r="E1700" i="2"/>
  <c r="B1700" i="2"/>
  <c r="A1700" i="2"/>
  <c r="F1700" i="2"/>
  <c r="H1700" i="2" s="1"/>
  <c r="E1494" i="2"/>
  <c r="F1494" i="2"/>
  <c r="H1494" i="2" s="1"/>
  <c r="B1494" i="2"/>
  <c r="A1494" i="2"/>
  <c r="F1540" i="2"/>
  <c r="H1540" i="2" s="1"/>
  <c r="E1540" i="2"/>
  <c r="A1540" i="2"/>
  <c r="B1540" i="2"/>
  <c r="A1600" i="2"/>
  <c r="E1600" i="2"/>
  <c r="B1600" i="2"/>
  <c r="F1600" i="2"/>
  <c r="H1600" i="2" s="1"/>
  <c r="E1597" i="2"/>
  <c r="B1597" i="2"/>
  <c r="A1597" i="2"/>
  <c r="F1597" i="2"/>
  <c r="H1597" i="2" s="1"/>
  <c r="A1459" i="2"/>
  <c r="E1459" i="2"/>
  <c r="B1459" i="2"/>
  <c r="F1459" i="2"/>
  <c r="H1459" i="2" s="1"/>
  <c r="E1452" i="2"/>
  <c r="F1452" i="2"/>
  <c r="H1452" i="2" s="1"/>
  <c r="A1452" i="2"/>
  <c r="B1452" i="2"/>
  <c r="E1680" i="2"/>
  <c r="B1680" i="2"/>
  <c r="A1680" i="2"/>
  <c r="F1680" i="2"/>
  <c r="H1680" i="2" s="1"/>
  <c r="F1532" i="2"/>
  <c r="H1532" i="2" s="1"/>
  <c r="E1532" i="2"/>
  <c r="B1532" i="2"/>
  <c r="A1532" i="2"/>
  <c r="F1568" i="2"/>
  <c r="H1568" i="2" s="1"/>
  <c r="E1568" i="2"/>
  <c r="B1568" i="2"/>
  <c r="A1568" i="2"/>
  <c r="A1748" i="2"/>
  <c r="F1748" i="2"/>
  <c r="H1748" i="2" s="1"/>
  <c r="E1748" i="2"/>
  <c r="B1748" i="2"/>
  <c r="A1685" i="2"/>
  <c r="B1685" i="2"/>
  <c r="F1685" i="2"/>
  <c r="H1685" i="2" s="1"/>
  <c r="E1685" i="2"/>
  <c r="E1621" i="2"/>
  <c r="B1621" i="2"/>
  <c r="A1621" i="2"/>
  <c r="F1621" i="2"/>
  <c r="H1621" i="2" s="1"/>
  <c r="E1716" i="2"/>
  <c r="B1716" i="2"/>
  <c r="A1716" i="2"/>
  <c r="F1716" i="2"/>
  <c r="H1716" i="2" s="1"/>
  <c r="B2237" i="2"/>
  <c r="A2237" i="2"/>
  <c r="E2237" i="2"/>
  <c r="F2237" i="2"/>
  <c r="H2237" i="2" s="1"/>
  <c r="E1847" i="2"/>
  <c r="F1847" i="2"/>
  <c r="H1847" i="2" s="1"/>
  <c r="B1847" i="2"/>
  <c r="A1847" i="2"/>
  <c r="F1710" i="2"/>
  <c r="H1710" i="2" s="1"/>
  <c r="A1710" i="2"/>
  <c r="E1710" i="2"/>
  <c r="B1710" i="2"/>
  <c r="F1607" i="2"/>
  <c r="H1607" i="2" s="1"/>
  <c r="A1607" i="2"/>
  <c r="E1607" i="2"/>
  <c r="B1607" i="2"/>
  <c r="A1751" i="2"/>
  <c r="F1751" i="2"/>
  <c r="H1751" i="2" s="1"/>
  <c r="E1751" i="2"/>
  <c r="B1751" i="2"/>
  <c r="F1677" i="2"/>
  <c r="H1677" i="2" s="1"/>
  <c r="E1677" i="2"/>
  <c r="B1677" i="2"/>
  <c r="A1677" i="2"/>
  <c r="E1590" i="2"/>
  <c r="B1590" i="2"/>
  <c r="F1590" i="2"/>
  <c r="H1590" i="2" s="1"/>
  <c r="A1590" i="2"/>
  <c r="A1737" i="2"/>
  <c r="F1737" i="2"/>
  <c r="H1737" i="2" s="1"/>
  <c r="E1737" i="2"/>
  <c r="B1737" i="2"/>
  <c r="F1612" i="2"/>
  <c r="H1612" i="2" s="1"/>
  <c r="E1612" i="2"/>
  <c r="B1612" i="2"/>
  <c r="A1612" i="2"/>
  <c r="F1754" i="2"/>
  <c r="H1754" i="2" s="1"/>
  <c r="E1754" i="2"/>
  <c r="B1754" i="2"/>
  <c r="A1754" i="2"/>
  <c r="B1772" i="2"/>
  <c r="A1772" i="2"/>
  <c r="F1772" i="2"/>
  <c r="H1772" i="2" s="1"/>
  <c r="E1772" i="2"/>
  <c r="F1796" i="2"/>
  <c r="H1796" i="2" s="1"/>
  <c r="E1796" i="2"/>
  <c r="B1796" i="2"/>
  <c r="A1796" i="2"/>
  <c r="F1820" i="2"/>
  <c r="H1820" i="2" s="1"/>
  <c r="E1820" i="2"/>
  <c r="B1820" i="2"/>
  <c r="A1820" i="2"/>
  <c r="B2074" i="2"/>
  <c r="E2074" i="2"/>
  <c r="A2074" i="2"/>
  <c r="F2074" i="2"/>
  <c r="H2074" i="2" s="1"/>
  <c r="F1868" i="2"/>
  <c r="H1868" i="2" s="1"/>
  <c r="E1868" i="2"/>
  <c r="B1868" i="2"/>
  <c r="A1868" i="2"/>
  <c r="F1854" i="2"/>
  <c r="H1854" i="2" s="1"/>
  <c r="E1854" i="2"/>
  <c r="B1854" i="2"/>
  <c r="A1854" i="2"/>
  <c r="F1852" i="2"/>
  <c r="H1852" i="2" s="1"/>
  <c r="B1852" i="2"/>
  <c r="A1852" i="2"/>
  <c r="E1852" i="2"/>
  <c r="E2296" i="2"/>
  <c r="A2296" i="2"/>
  <c r="F2296" i="2"/>
  <c r="H2296" i="2" s="1"/>
  <c r="B2296" i="2"/>
  <c r="B2030" i="2"/>
  <c r="F2030" i="2"/>
  <c r="H2030" i="2" s="1"/>
  <c r="A2030" i="2"/>
  <c r="E2030" i="2"/>
  <c r="F2008" i="2"/>
  <c r="H2008" i="2" s="1"/>
  <c r="E2008" i="2"/>
  <c r="B2008" i="2"/>
  <c r="A2008" i="2"/>
  <c r="B2048" i="2"/>
  <c r="F2048" i="2"/>
  <c r="H2048" i="2" s="1"/>
  <c r="E2048" i="2"/>
  <c r="A2048" i="2"/>
  <c r="B2072" i="2"/>
  <c r="F2072" i="2"/>
  <c r="H2072" i="2" s="1"/>
  <c r="E2072" i="2"/>
  <c r="A2072" i="2"/>
  <c r="F2599" i="2"/>
  <c r="H2599" i="2" s="1"/>
  <c r="A2599" i="2"/>
  <c r="B2599" i="2"/>
  <c r="E2599" i="2"/>
  <c r="A2150" i="2"/>
  <c r="F2150" i="2"/>
  <c r="H2150" i="2" s="1"/>
  <c r="E2150" i="2"/>
  <c r="B2150" i="2"/>
  <c r="B1888" i="2"/>
  <c r="A1888" i="2"/>
  <c r="F1888" i="2"/>
  <c r="H1888" i="2" s="1"/>
  <c r="E1888" i="2"/>
  <c r="B1912" i="2"/>
  <c r="F1912" i="2"/>
  <c r="H1912" i="2" s="1"/>
  <c r="E1912" i="2"/>
  <c r="A1912" i="2"/>
  <c r="B1936" i="2"/>
  <c r="A1936" i="2"/>
  <c r="E1936" i="2"/>
  <c r="F1936" i="2"/>
  <c r="H1936" i="2" s="1"/>
  <c r="F1960" i="2"/>
  <c r="H1960" i="2" s="1"/>
  <c r="B1960" i="2"/>
  <c r="A1960" i="2"/>
  <c r="E1960" i="2"/>
  <c r="F1984" i="2"/>
  <c r="H1984" i="2" s="1"/>
  <c r="E1984" i="2"/>
  <c r="B1984" i="2"/>
  <c r="A1984" i="2"/>
  <c r="B2022" i="2"/>
  <c r="F2022" i="2"/>
  <c r="H2022" i="2" s="1"/>
  <c r="E2022" i="2"/>
  <c r="A2022" i="2"/>
  <c r="A2164" i="2"/>
  <c r="B2164" i="2"/>
  <c r="F2164" i="2"/>
  <c r="H2164" i="2" s="1"/>
  <c r="E2164" i="2"/>
  <c r="F2338" i="2"/>
  <c r="H2338" i="2" s="1"/>
  <c r="B2338" i="2"/>
  <c r="E2338" i="2"/>
  <c r="A2338" i="2"/>
  <c r="E2254" i="2"/>
  <c r="A2254" i="2"/>
  <c r="F2254" i="2"/>
  <c r="H2254" i="2" s="1"/>
  <c r="B2254" i="2"/>
  <c r="B2078" i="2"/>
  <c r="E2078" i="2"/>
  <c r="F2078" i="2"/>
  <c r="H2078" i="2" s="1"/>
  <c r="A2078" i="2"/>
  <c r="F2329" i="2"/>
  <c r="H2329" i="2" s="1"/>
  <c r="B2329" i="2"/>
  <c r="E2329" i="2"/>
  <c r="A2329" i="2"/>
  <c r="E2306" i="2"/>
  <c r="A2306" i="2"/>
  <c r="F2306" i="2"/>
  <c r="H2306" i="2" s="1"/>
  <c r="B2306" i="2"/>
  <c r="A1893" i="2"/>
  <c r="F1893" i="2"/>
  <c r="H1893" i="2" s="1"/>
  <c r="E1893" i="2"/>
  <c r="B1893" i="2"/>
  <c r="A1917" i="2"/>
  <c r="B1917" i="2"/>
  <c r="F1917" i="2"/>
  <c r="H1917" i="2" s="1"/>
  <c r="E1917" i="2"/>
  <c r="A1941" i="2"/>
  <c r="F1941" i="2"/>
  <c r="H1941" i="2" s="1"/>
  <c r="E1941" i="2"/>
  <c r="B1941" i="2"/>
  <c r="F1965" i="2"/>
  <c r="H1965" i="2" s="1"/>
  <c r="E1965" i="2"/>
  <c r="A1965" i="2"/>
  <c r="B1965" i="2"/>
  <c r="F1989" i="2"/>
  <c r="H1989" i="2" s="1"/>
  <c r="E1989" i="2"/>
  <c r="B1989" i="2"/>
  <c r="A1989" i="2"/>
  <c r="B2052" i="2"/>
  <c r="F2052" i="2"/>
  <c r="H2052" i="2" s="1"/>
  <c r="E2052" i="2"/>
  <c r="A2052" i="2"/>
  <c r="E2256" i="2"/>
  <c r="B2256" i="2"/>
  <c r="F2256" i="2"/>
  <c r="H2256" i="2" s="1"/>
  <c r="A2256" i="2"/>
  <c r="F2612" i="2"/>
  <c r="H2612" i="2" s="1"/>
  <c r="E2612" i="2"/>
  <c r="B2612" i="2"/>
  <c r="A2612" i="2"/>
  <c r="A2588" i="2"/>
  <c r="F2588" i="2"/>
  <c r="H2588" i="2" s="1"/>
  <c r="B2588" i="2"/>
  <c r="E2588" i="2"/>
  <c r="A2178" i="2"/>
  <c r="F2178" i="2"/>
  <c r="H2178" i="2" s="1"/>
  <c r="B2178" i="2"/>
  <c r="E2178" i="2"/>
  <c r="B2440" i="2"/>
  <c r="A2440" i="2"/>
  <c r="F2440" i="2"/>
  <c r="H2440" i="2" s="1"/>
  <c r="E2440" i="2"/>
  <c r="F2408" i="2"/>
  <c r="H2408" i="2" s="1"/>
  <c r="A2408" i="2"/>
  <c r="B2408" i="2"/>
  <c r="E2408" i="2"/>
  <c r="F2474" i="2"/>
  <c r="H2474" i="2" s="1"/>
  <c r="E2474" i="2"/>
  <c r="B2474" i="2"/>
  <c r="A2474" i="2"/>
  <c r="A2422" i="2"/>
  <c r="F2422" i="2"/>
  <c r="H2422" i="2" s="1"/>
  <c r="E2422" i="2"/>
  <c r="B2422" i="2"/>
  <c r="E2271" i="2"/>
  <c r="B2271" i="2"/>
  <c r="F2271" i="2"/>
  <c r="H2271" i="2" s="1"/>
  <c r="A2271" i="2"/>
  <c r="F2430" i="2"/>
  <c r="H2430" i="2" s="1"/>
  <c r="B2430" i="2"/>
  <c r="A2430" i="2"/>
  <c r="E2430" i="2"/>
  <c r="A2675" i="2"/>
  <c r="F2675" i="2"/>
  <c r="H2675" i="2" s="1"/>
  <c r="E2675" i="2"/>
  <c r="B2675" i="2"/>
  <c r="F2527" i="2"/>
  <c r="H2527" i="2" s="1"/>
  <c r="B2527" i="2"/>
  <c r="A2527" i="2"/>
  <c r="E2527" i="2"/>
  <c r="A2541" i="2"/>
  <c r="F2541" i="2"/>
  <c r="H2541" i="2" s="1"/>
  <c r="E2541" i="2"/>
  <c r="B2541" i="2"/>
  <c r="B2173" i="2"/>
  <c r="F2173" i="2"/>
  <c r="H2173" i="2" s="1"/>
  <c r="E2173" i="2"/>
  <c r="A2173" i="2"/>
  <c r="B2197" i="2"/>
  <c r="F2197" i="2"/>
  <c r="H2197" i="2" s="1"/>
  <c r="A2197" i="2"/>
  <c r="E2197" i="2"/>
  <c r="B2221" i="2"/>
  <c r="A2221" i="2"/>
  <c r="E2221" i="2"/>
  <c r="F2221" i="2"/>
  <c r="H2221" i="2" s="1"/>
  <c r="F2321" i="2"/>
  <c r="H2321" i="2" s="1"/>
  <c r="E2321" i="2"/>
  <c r="B2321" i="2"/>
  <c r="A2321" i="2"/>
  <c r="F2512" i="2"/>
  <c r="H2512" i="2" s="1"/>
  <c r="B2512" i="2"/>
  <c r="E2512" i="2"/>
  <c r="A2512" i="2"/>
  <c r="E2336" i="2"/>
  <c r="A2336" i="2"/>
  <c r="F2336" i="2"/>
  <c r="H2336" i="2" s="1"/>
  <c r="B2336" i="2"/>
  <c r="A2712" i="2"/>
  <c r="F2712" i="2"/>
  <c r="H2712" i="2" s="1"/>
  <c r="B2712" i="2"/>
  <c r="E2712" i="2"/>
  <c r="F2517" i="2"/>
  <c r="H2517" i="2" s="1"/>
  <c r="E2517" i="2"/>
  <c r="B2517" i="2"/>
  <c r="A2517" i="2"/>
  <c r="B2404" i="2"/>
  <c r="E2404" i="2"/>
  <c r="F2404" i="2"/>
  <c r="H2404" i="2" s="1"/>
  <c r="A2404" i="2"/>
  <c r="B2708" i="2"/>
  <c r="A2708" i="2"/>
  <c r="F2708" i="2"/>
  <c r="H2708" i="2" s="1"/>
  <c r="E2708" i="2"/>
  <c r="F2704" i="2"/>
  <c r="H2704" i="2" s="1"/>
  <c r="B2704" i="2"/>
  <c r="A2704" i="2"/>
  <c r="E2704" i="2"/>
  <c r="B2498" i="2"/>
  <c r="F2498" i="2"/>
  <c r="H2498" i="2" s="1"/>
  <c r="A2498" i="2"/>
  <c r="E2498" i="2"/>
  <c r="F2680" i="2"/>
  <c r="H2680" i="2" s="1"/>
  <c r="E2680" i="2"/>
  <c r="B2680" i="2"/>
  <c r="A2680" i="2"/>
  <c r="F2609" i="2"/>
  <c r="H2609" i="2" s="1"/>
  <c r="B2609" i="2"/>
  <c r="E2609" i="2"/>
  <c r="A2609" i="2"/>
  <c r="F2438" i="2"/>
  <c r="H2438" i="2" s="1"/>
  <c r="E2438" i="2"/>
  <c r="B2438" i="2"/>
  <c r="A2438" i="2"/>
  <c r="B2677" i="2"/>
  <c r="F2677" i="2"/>
  <c r="H2677" i="2" s="1"/>
  <c r="E2677" i="2"/>
  <c r="A2677" i="2"/>
  <c r="A2640" i="2"/>
  <c r="B2640" i="2"/>
  <c r="F2640" i="2"/>
  <c r="H2640" i="2" s="1"/>
  <c r="E2640" i="2"/>
  <c r="F2650" i="2"/>
  <c r="H2650" i="2" s="1"/>
  <c r="B2650" i="2"/>
  <c r="E2650" i="2"/>
  <c r="A2650" i="2"/>
  <c r="E2617" i="2"/>
  <c r="B2617" i="2"/>
  <c r="A2617" i="2"/>
  <c r="F2617" i="2"/>
  <c r="H2617" i="2" s="1"/>
  <c r="F2341" i="2"/>
  <c r="H2341" i="2" s="1"/>
  <c r="B2341" i="2"/>
  <c r="A2341" i="2"/>
  <c r="E2341" i="2"/>
  <c r="E2365" i="2"/>
  <c r="B2365" i="2"/>
  <c r="F2365" i="2"/>
  <c r="H2365" i="2" s="1"/>
  <c r="A2365" i="2"/>
  <c r="E2389" i="2"/>
  <c r="B2389" i="2"/>
  <c r="A2389" i="2"/>
  <c r="F2389" i="2"/>
  <c r="H2389" i="2" s="1"/>
  <c r="E2413" i="2"/>
  <c r="B2413" i="2"/>
  <c r="F2413" i="2"/>
  <c r="H2413" i="2" s="1"/>
  <c r="A2413" i="2"/>
  <c r="E2437" i="2"/>
  <c r="B2437" i="2"/>
  <c r="F2437" i="2"/>
  <c r="H2437" i="2" s="1"/>
  <c r="A2437" i="2"/>
  <c r="E2461" i="2"/>
  <c r="B2461" i="2"/>
  <c r="F2461" i="2"/>
  <c r="H2461" i="2" s="1"/>
  <c r="A2461" i="2"/>
  <c r="E2485" i="2"/>
  <c r="B2485" i="2"/>
  <c r="F2485" i="2"/>
  <c r="H2485" i="2" s="1"/>
  <c r="A2485" i="2"/>
  <c r="E2529" i="2"/>
  <c r="F2529" i="2"/>
  <c r="H2529" i="2" s="1"/>
  <c r="B2529" i="2"/>
  <c r="A2529" i="2"/>
  <c r="E2717" i="2"/>
  <c r="F2717" i="2"/>
  <c r="H2717" i="2" s="1"/>
  <c r="B2717" i="2"/>
  <c r="A2717" i="2"/>
  <c r="F2687" i="2"/>
  <c r="H2687" i="2" s="1"/>
  <c r="E2687" i="2"/>
  <c r="B2687" i="2"/>
  <c r="A2687" i="2"/>
  <c r="E2659" i="2"/>
  <c r="F2659" i="2"/>
  <c r="H2659" i="2" s="1"/>
  <c r="A2659" i="2"/>
  <c r="B2659" i="2"/>
  <c r="A188" i="2"/>
  <c r="E188" i="2"/>
  <c r="B188" i="2"/>
  <c r="F188" i="2"/>
  <c r="H188" i="2" s="1"/>
  <c r="F153" i="2"/>
  <c r="H153" i="2" s="1"/>
  <c r="A153" i="2"/>
  <c r="E153" i="2"/>
  <c r="B153" i="2"/>
  <c r="F105" i="2"/>
  <c r="H105" i="2" s="1"/>
  <c r="A105" i="2"/>
  <c r="E105" i="2"/>
  <c r="B105" i="2"/>
  <c r="F149" i="2"/>
  <c r="H149" i="2" s="1"/>
  <c r="A149" i="2"/>
  <c r="E149" i="2"/>
  <c r="B149" i="2"/>
  <c r="F103" i="2"/>
  <c r="H103" i="2" s="1"/>
  <c r="E103" i="2"/>
  <c r="B103" i="2"/>
  <c r="A103" i="2"/>
  <c r="F151" i="2"/>
  <c r="H151" i="2" s="1"/>
  <c r="B151" i="2"/>
  <c r="A151" i="2"/>
  <c r="E151" i="2"/>
  <c r="F327" i="2"/>
  <c r="H327" i="2" s="1"/>
  <c r="E327" i="2"/>
  <c r="A327" i="2"/>
  <c r="B327" i="2"/>
  <c r="F218" i="2"/>
  <c r="H218" i="2" s="1"/>
  <c r="E218" i="2"/>
  <c r="B218" i="2"/>
  <c r="A218" i="2"/>
  <c r="F227" i="2"/>
  <c r="H227" i="2" s="1"/>
  <c r="B227" i="2"/>
  <c r="A227" i="2"/>
  <c r="E227" i="2"/>
  <c r="F362" i="2"/>
  <c r="H362" i="2" s="1"/>
  <c r="B362" i="2"/>
  <c r="E362" i="2"/>
  <c r="A362" i="2"/>
  <c r="F154" i="2"/>
  <c r="H154" i="2" s="1"/>
  <c r="E154" i="2"/>
  <c r="B154" i="2"/>
  <c r="A154" i="2"/>
  <c r="F235" i="2"/>
  <c r="H235" i="2" s="1"/>
  <c r="E235" i="2"/>
  <c r="B235" i="2"/>
  <c r="A235" i="2"/>
  <c r="F246" i="2"/>
  <c r="H246" i="2" s="1"/>
  <c r="E246" i="2"/>
  <c r="B246" i="2"/>
  <c r="A246" i="2"/>
  <c r="F450" i="2"/>
  <c r="H450" i="2" s="1"/>
  <c r="E450" i="2"/>
  <c r="B450" i="2"/>
  <c r="A450" i="2"/>
  <c r="E673" i="2"/>
  <c r="B673" i="2"/>
  <c r="A673" i="2"/>
  <c r="F673" i="2"/>
  <c r="H673" i="2" s="1"/>
  <c r="B941" i="2"/>
  <c r="A941" i="2"/>
  <c r="F941" i="2"/>
  <c r="H941" i="2" s="1"/>
  <c r="E941" i="2"/>
  <c r="F432" i="2"/>
  <c r="H432" i="2" s="1"/>
  <c r="E432" i="2"/>
  <c r="A432" i="2"/>
  <c r="B432" i="2"/>
  <c r="F463" i="2"/>
  <c r="H463" i="2" s="1"/>
  <c r="E463" i="2"/>
  <c r="B463" i="2"/>
  <c r="A463" i="2"/>
  <c r="A931" i="2"/>
  <c r="F931" i="2"/>
  <c r="H931" i="2" s="1"/>
  <c r="E931" i="2"/>
  <c r="B931" i="2"/>
  <c r="A540" i="2"/>
  <c r="E540" i="2"/>
  <c r="B540" i="2"/>
  <c r="F540" i="2"/>
  <c r="H540" i="2" s="1"/>
  <c r="E636" i="2"/>
  <c r="B636" i="2"/>
  <c r="A636" i="2"/>
  <c r="F636" i="2"/>
  <c r="H636" i="2" s="1"/>
  <c r="E732" i="2"/>
  <c r="F732" i="2"/>
  <c r="H732" i="2" s="1"/>
  <c r="B732" i="2"/>
  <c r="A732" i="2"/>
  <c r="E932" i="2"/>
  <c r="B932" i="2"/>
  <c r="F932" i="2"/>
  <c r="H932" i="2" s="1"/>
  <c r="A932" i="2"/>
  <c r="E834" i="2"/>
  <c r="B834" i="2"/>
  <c r="F834" i="2"/>
  <c r="H834" i="2" s="1"/>
  <c r="A834" i="2"/>
  <c r="E970" i="2"/>
  <c r="B970" i="2"/>
  <c r="F970" i="2"/>
  <c r="H970" i="2" s="1"/>
  <c r="A970" i="2"/>
  <c r="A1257" i="2"/>
  <c r="E1257" i="2"/>
  <c r="B1257" i="2"/>
  <c r="F1257" i="2"/>
  <c r="H1257" i="2" s="1"/>
  <c r="A1313" i="2"/>
  <c r="F1313" i="2"/>
  <c r="H1313" i="2" s="1"/>
  <c r="E1313" i="2"/>
  <c r="B1313" i="2"/>
  <c r="E1460" i="2"/>
  <c r="A1460" i="2"/>
  <c r="F1460" i="2"/>
  <c r="H1460" i="2" s="1"/>
  <c r="B1460" i="2"/>
  <c r="A1551" i="2"/>
  <c r="E1551" i="2"/>
  <c r="B1551" i="2"/>
  <c r="F1551" i="2"/>
  <c r="H1551" i="2" s="1"/>
  <c r="A1130" i="2"/>
  <c r="E1130" i="2"/>
  <c r="B1130" i="2"/>
  <c r="F1130" i="2"/>
  <c r="H1130" i="2" s="1"/>
  <c r="F1202" i="2"/>
  <c r="H1202" i="2" s="1"/>
  <c r="B1202" i="2"/>
  <c r="E1202" i="2"/>
  <c r="A1202" i="2"/>
  <c r="F1298" i="2"/>
  <c r="H1298" i="2" s="1"/>
  <c r="E1298" i="2"/>
  <c r="B1298" i="2"/>
  <c r="A1298" i="2"/>
  <c r="F1554" i="2"/>
  <c r="H1554" i="2" s="1"/>
  <c r="E1554" i="2"/>
  <c r="A1554" i="2"/>
  <c r="B1554" i="2"/>
  <c r="F1534" i="2"/>
  <c r="H1534" i="2" s="1"/>
  <c r="E1534" i="2"/>
  <c r="A1534" i="2"/>
  <c r="B1534" i="2"/>
  <c r="E1428" i="2"/>
  <c r="F1428" i="2"/>
  <c r="H1428" i="2" s="1"/>
  <c r="A1428" i="2"/>
  <c r="B1428" i="2"/>
  <c r="B1643" i="2"/>
  <c r="A1643" i="2"/>
  <c r="F1643" i="2"/>
  <c r="H1643" i="2" s="1"/>
  <c r="E1643" i="2"/>
  <c r="F1686" i="2"/>
  <c r="H1686" i="2" s="1"/>
  <c r="A1686" i="2"/>
  <c r="E1686" i="2"/>
  <c r="B1686" i="2"/>
  <c r="F1836" i="2"/>
  <c r="H1836" i="2" s="1"/>
  <c r="E1836" i="2"/>
  <c r="B1836" i="2"/>
  <c r="A1836" i="2"/>
  <c r="B2086" i="2"/>
  <c r="E2086" i="2"/>
  <c r="A2086" i="2"/>
  <c r="F2086" i="2"/>
  <c r="H2086" i="2" s="1"/>
  <c r="F1844" i="2"/>
  <c r="H1844" i="2" s="1"/>
  <c r="E1844" i="2"/>
  <c r="B1844" i="2"/>
  <c r="A1844" i="2"/>
  <c r="F1878" i="2"/>
  <c r="H1878" i="2" s="1"/>
  <c r="E1878" i="2"/>
  <c r="B1878" i="2"/>
  <c r="A1878" i="2"/>
  <c r="B2111" i="2"/>
  <c r="F2111" i="2"/>
  <c r="H2111" i="2" s="1"/>
  <c r="E2111" i="2"/>
  <c r="A2111" i="2"/>
  <c r="E1932" i="2"/>
  <c r="F1932" i="2"/>
  <c r="H1932" i="2" s="1"/>
  <c r="B1932" i="2"/>
  <c r="A1932" i="2"/>
  <c r="B2135" i="2"/>
  <c r="F2135" i="2"/>
  <c r="H2135" i="2" s="1"/>
  <c r="E2135" i="2"/>
  <c r="A2135" i="2"/>
  <c r="F2293" i="2"/>
  <c r="H2293" i="2" s="1"/>
  <c r="E2293" i="2"/>
  <c r="B2293" i="2"/>
  <c r="A2293" i="2"/>
  <c r="B1961" i="2"/>
  <c r="F1961" i="2"/>
  <c r="H1961" i="2" s="1"/>
  <c r="E1961" i="2"/>
  <c r="A1961" i="2"/>
  <c r="F2585" i="2"/>
  <c r="H2585" i="2" s="1"/>
  <c r="B2585" i="2"/>
  <c r="A2585" i="2"/>
  <c r="E2585" i="2"/>
  <c r="F2384" i="2"/>
  <c r="H2384" i="2" s="1"/>
  <c r="A2384" i="2"/>
  <c r="E2384" i="2"/>
  <c r="B2384" i="2"/>
  <c r="F2444" i="2"/>
  <c r="H2444" i="2" s="1"/>
  <c r="E2444" i="2"/>
  <c r="B2444" i="2"/>
  <c r="A2444" i="2"/>
  <c r="B2217" i="2"/>
  <c r="A2217" i="2"/>
  <c r="E2217" i="2"/>
  <c r="F2217" i="2"/>
  <c r="H2217" i="2" s="1"/>
  <c r="F2661" i="2"/>
  <c r="H2661" i="2" s="1"/>
  <c r="E2661" i="2"/>
  <c r="B2661" i="2"/>
  <c r="A2661" i="2"/>
  <c r="A2702" i="2"/>
  <c r="F2702" i="2"/>
  <c r="H2702" i="2" s="1"/>
  <c r="E2702" i="2"/>
  <c r="B2702" i="2"/>
  <c r="A2579" i="2"/>
  <c r="B2579" i="2"/>
  <c r="F2579" i="2"/>
  <c r="H2579" i="2" s="1"/>
  <c r="E2579" i="2"/>
  <c r="E2644" i="2"/>
  <c r="A2644" i="2"/>
  <c r="F2644" i="2"/>
  <c r="H2644" i="2" s="1"/>
  <c r="B2644" i="2"/>
  <c r="E2385" i="2"/>
  <c r="F2385" i="2"/>
  <c r="H2385" i="2" s="1"/>
  <c r="B2385" i="2"/>
  <c r="A2385" i="2"/>
  <c r="E2663" i="2"/>
  <c r="A2663" i="2"/>
  <c r="F2663" i="2"/>
  <c r="H2663" i="2" s="1"/>
  <c r="B2663" i="2"/>
  <c r="B30" i="2"/>
  <c r="A30" i="2"/>
  <c r="F30" i="2"/>
  <c r="H30" i="2" s="1"/>
  <c r="E30" i="2"/>
  <c r="F321" i="2"/>
  <c r="H321" i="2" s="1"/>
  <c r="E321" i="2"/>
  <c r="A321" i="2"/>
  <c r="B321" i="2"/>
  <c r="B446" i="2"/>
  <c r="A446" i="2"/>
  <c r="F446" i="2"/>
  <c r="H446" i="2" s="1"/>
  <c r="E446" i="2"/>
  <c r="F51" i="2"/>
  <c r="H51" i="2" s="1"/>
  <c r="E51" i="2"/>
  <c r="B51" i="2"/>
  <c r="A51" i="2"/>
  <c r="F75" i="2"/>
  <c r="H75" i="2" s="1"/>
  <c r="E75" i="2"/>
  <c r="B75" i="2"/>
  <c r="A75" i="2"/>
  <c r="F767" i="2"/>
  <c r="H767" i="2" s="1"/>
  <c r="B767" i="2"/>
  <c r="A767" i="2"/>
  <c r="E767" i="2"/>
  <c r="F365" i="2"/>
  <c r="H365" i="2" s="1"/>
  <c r="E365" i="2"/>
  <c r="A365" i="2"/>
  <c r="B365" i="2"/>
  <c r="F204" i="2"/>
  <c r="H204" i="2" s="1"/>
  <c r="E204" i="2"/>
  <c r="B204" i="2"/>
  <c r="A204" i="2"/>
  <c r="F165" i="2"/>
  <c r="H165" i="2" s="1"/>
  <c r="E165" i="2"/>
  <c r="B165" i="2"/>
  <c r="A165" i="2"/>
  <c r="F104" i="2"/>
  <c r="H104" i="2" s="1"/>
  <c r="E104" i="2"/>
  <c r="B104" i="2"/>
  <c r="A104" i="2"/>
  <c r="F248" i="2"/>
  <c r="H248" i="2" s="1"/>
  <c r="E248" i="2"/>
  <c r="B248" i="2"/>
  <c r="A248" i="2"/>
  <c r="F387" i="2"/>
  <c r="H387" i="2" s="1"/>
  <c r="E387" i="2"/>
  <c r="A387" i="2"/>
  <c r="B387" i="2"/>
  <c r="F257" i="2"/>
  <c r="H257" i="2" s="1"/>
  <c r="E257" i="2"/>
  <c r="B257" i="2"/>
  <c r="A257" i="2"/>
  <c r="F461" i="2"/>
  <c r="H461" i="2" s="1"/>
  <c r="E461" i="2"/>
  <c r="B461" i="2"/>
  <c r="A461" i="2"/>
  <c r="E448" i="2"/>
  <c r="B448" i="2"/>
  <c r="A448" i="2"/>
  <c r="F448" i="2"/>
  <c r="H448" i="2" s="1"/>
  <c r="E681" i="2"/>
  <c r="B681" i="2"/>
  <c r="A681" i="2"/>
  <c r="F681" i="2"/>
  <c r="H681" i="2" s="1"/>
  <c r="B823" i="2"/>
  <c r="A823" i="2"/>
  <c r="F823" i="2"/>
  <c r="H823" i="2" s="1"/>
  <c r="E823" i="2"/>
  <c r="E952" i="2"/>
  <c r="B952" i="2"/>
  <c r="F952" i="2"/>
  <c r="H952" i="2" s="1"/>
  <c r="A952" i="2"/>
  <c r="F605" i="2"/>
  <c r="H605" i="2" s="1"/>
  <c r="E605" i="2"/>
  <c r="A605" i="2"/>
  <c r="B605" i="2"/>
  <c r="E772" i="2"/>
  <c r="F772" i="2"/>
  <c r="H772" i="2" s="1"/>
  <c r="B772" i="2"/>
  <c r="A772" i="2"/>
  <c r="F513" i="2"/>
  <c r="H513" i="2" s="1"/>
  <c r="E513" i="2"/>
  <c r="B513" i="2"/>
  <c r="A513" i="2"/>
  <c r="A733" i="2"/>
  <c r="F733" i="2"/>
  <c r="H733" i="2" s="1"/>
  <c r="E733" i="2"/>
  <c r="B733" i="2"/>
  <c r="B811" i="2"/>
  <c r="A811" i="2"/>
  <c r="F811" i="2"/>
  <c r="H811" i="2" s="1"/>
  <c r="E811" i="2"/>
  <c r="E838" i="2"/>
  <c r="B838" i="2"/>
  <c r="F838" i="2"/>
  <c r="H838" i="2" s="1"/>
  <c r="A838" i="2"/>
  <c r="E934" i="2"/>
  <c r="B934" i="2"/>
  <c r="F934" i="2"/>
  <c r="H934" i="2" s="1"/>
  <c r="A934" i="2"/>
  <c r="E1030" i="2"/>
  <c r="B1030" i="2"/>
  <c r="F1030" i="2"/>
  <c r="H1030" i="2" s="1"/>
  <c r="A1030" i="2"/>
  <c r="E542" i="2"/>
  <c r="B542" i="2"/>
  <c r="A542" i="2"/>
  <c r="F542" i="2"/>
  <c r="H542" i="2" s="1"/>
  <c r="E590" i="2"/>
  <c r="F590" i="2"/>
  <c r="H590" i="2" s="1"/>
  <c r="B590" i="2"/>
  <c r="A590" i="2"/>
  <c r="E638" i="2"/>
  <c r="F638" i="2"/>
  <c r="H638" i="2" s="1"/>
  <c r="B638" i="2"/>
  <c r="A638" i="2"/>
  <c r="E686" i="2"/>
  <c r="F686" i="2"/>
  <c r="H686" i="2" s="1"/>
  <c r="B686" i="2"/>
  <c r="A686" i="2"/>
  <c r="E734" i="2"/>
  <c r="B734" i="2"/>
  <c r="A734" i="2"/>
  <c r="F734" i="2"/>
  <c r="H734" i="2" s="1"/>
  <c r="F841" i="2"/>
  <c r="H841" i="2" s="1"/>
  <c r="E841" i="2"/>
  <c r="B841" i="2"/>
  <c r="A841" i="2"/>
  <c r="F937" i="2"/>
  <c r="H937" i="2" s="1"/>
  <c r="E937" i="2"/>
  <c r="B937" i="2"/>
  <c r="A937" i="2"/>
  <c r="F1033" i="2"/>
  <c r="H1033" i="2" s="1"/>
  <c r="E1033" i="2"/>
  <c r="B1033" i="2"/>
  <c r="A1033" i="2"/>
  <c r="B1051" i="2"/>
  <c r="F1051" i="2"/>
  <c r="H1051" i="2" s="1"/>
  <c r="E1051" i="2"/>
  <c r="A1051" i="2"/>
  <c r="F879" i="2"/>
  <c r="H879" i="2" s="1"/>
  <c r="E879" i="2"/>
  <c r="B879" i="2"/>
  <c r="A879" i="2"/>
  <c r="F975" i="2"/>
  <c r="H975" i="2" s="1"/>
  <c r="E975" i="2"/>
  <c r="B975" i="2"/>
  <c r="A975" i="2"/>
  <c r="E1125" i="2"/>
  <c r="B1125" i="2"/>
  <c r="A1125" i="2"/>
  <c r="F1125" i="2"/>
  <c r="H1125" i="2" s="1"/>
  <c r="E1306" i="2"/>
  <c r="B1306" i="2"/>
  <c r="F1306" i="2"/>
  <c r="H1306" i="2" s="1"/>
  <c r="A1306" i="2"/>
  <c r="F1155" i="2"/>
  <c r="H1155" i="2" s="1"/>
  <c r="E1155" i="2"/>
  <c r="B1155" i="2"/>
  <c r="A1155" i="2"/>
  <c r="A1457" i="2"/>
  <c r="F1457" i="2"/>
  <c r="H1457" i="2" s="1"/>
  <c r="E1457" i="2"/>
  <c r="B1457" i="2"/>
  <c r="F1064" i="2"/>
  <c r="H1064" i="2" s="1"/>
  <c r="E1064" i="2"/>
  <c r="B1064" i="2"/>
  <c r="A1064" i="2"/>
  <c r="F1189" i="2"/>
  <c r="H1189" i="2" s="1"/>
  <c r="E1189" i="2"/>
  <c r="B1189" i="2"/>
  <c r="A1189" i="2"/>
  <c r="F1586" i="2"/>
  <c r="H1586" i="2" s="1"/>
  <c r="E1586" i="2"/>
  <c r="A1586" i="2"/>
  <c r="B1586" i="2"/>
  <c r="E1304" i="2"/>
  <c r="B1304" i="2"/>
  <c r="F1304" i="2"/>
  <c r="H1304" i="2" s="1"/>
  <c r="A1304" i="2"/>
  <c r="F1634" i="2"/>
  <c r="H1634" i="2" s="1"/>
  <c r="E1634" i="2"/>
  <c r="B1634" i="2"/>
  <c r="A1634" i="2"/>
  <c r="E1338" i="2"/>
  <c r="B1338" i="2"/>
  <c r="F1338" i="2"/>
  <c r="H1338" i="2" s="1"/>
  <c r="A1338" i="2"/>
  <c r="B1084" i="2"/>
  <c r="A1084" i="2"/>
  <c r="F1084" i="2"/>
  <c r="H1084" i="2" s="1"/>
  <c r="E1084" i="2"/>
  <c r="B1132" i="2"/>
  <c r="F1132" i="2"/>
  <c r="H1132" i="2" s="1"/>
  <c r="E1132" i="2"/>
  <c r="A1132" i="2"/>
  <c r="F1180" i="2"/>
  <c r="H1180" i="2" s="1"/>
  <c r="B1180" i="2"/>
  <c r="E1180" i="2"/>
  <c r="A1180" i="2"/>
  <c r="F1228" i="2"/>
  <c r="H1228" i="2" s="1"/>
  <c r="B1228" i="2"/>
  <c r="E1228" i="2"/>
  <c r="A1228" i="2"/>
  <c r="F1276" i="2"/>
  <c r="H1276" i="2" s="1"/>
  <c r="B1276" i="2"/>
  <c r="E1276" i="2"/>
  <c r="A1276" i="2"/>
  <c r="B1622" i="2"/>
  <c r="A1622" i="2"/>
  <c r="F1622" i="2"/>
  <c r="H1622" i="2" s="1"/>
  <c r="E1622" i="2"/>
  <c r="E1656" i="2"/>
  <c r="B1656" i="2"/>
  <c r="A1656" i="2"/>
  <c r="F1656" i="2"/>
  <c r="H1656" i="2" s="1"/>
  <c r="A1533" i="2"/>
  <c r="E1533" i="2"/>
  <c r="B1533" i="2"/>
  <c r="F1533" i="2"/>
  <c r="H1533" i="2" s="1"/>
  <c r="A1537" i="2"/>
  <c r="F1537" i="2"/>
  <c r="H1537" i="2" s="1"/>
  <c r="E1537" i="2"/>
  <c r="B1537" i="2"/>
  <c r="F1809" i="2"/>
  <c r="H1809" i="2" s="1"/>
  <c r="E1809" i="2"/>
  <c r="B1809" i="2"/>
  <c r="A1809" i="2"/>
  <c r="E1440" i="2"/>
  <c r="F1440" i="2"/>
  <c r="H1440" i="2" s="1"/>
  <c r="A1440" i="2"/>
  <c r="B1440" i="2"/>
  <c r="A1565" i="2"/>
  <c r="F1565" i="2"/>
  <c r="H1565" i="2" s="1"/>
  <c r="E1565" i="2"/>
  <c r="B1565" i="2"/>
  <c r="A1617" i="2"/>
  <c r="F1617" i="2"/>
  <c r="H1617" i="2" s="1"/>
  <c r="E1617" i="2"/>
  <c r="B1617" i="2"/>
  <c r="B2085" i="2"/>
  <c r="F2085" i="2"/>
  <c r="H2085" i="2" s="1"/>
  <c r="A2085" i="2"/>
  <c r="E2085" i="2"/>
  <c r="F1698" i="2"/>
  <c r="H1698" i="2" s="1"/>
  <c r="E1698" i="2"/>
  <c r="B1698" i="2"/>
  <c r="A1698" i="2"/>
  <c r="A1739" i="2"/>
  <c r="F1739" i="2"/>
  <c r="H1739" i="2" s="1"/>
  <c r="E1739" i="2"/>
  <c r="B1739" i="2"/>
  <c r="E1579" i="2"/>
  <c r="B1579" i="2"/>
  <c r="A1579" i="2"/>
  <c r="F1579" i="2"/>
  <c r="H1579" i="2" s="1"/>
  <c r="F1601" i="2"/>
  <c r="H1601" i="2" s="1"/>
  <c r="E1601" i="2"/>
  <c r="B1601" i="2"/>
  <c r="A1601" i="2"/>
  <c r="F1770" i="2"/>
  <c r="H1770" i="2" s="1"/>
  <c r="E1770" i="2"/>
  <c r="B1770" i="2"/>
  <c r="A1770" i="2"/>
  <c r="B1818" i="2"/>
  <c r="A1818" i="2"/>
  <c r="F1818" i="2"/>
  <c r="H1818" i="2" s="1"/>
  <c r="E1818" i="2"/>
  <c r="F1842" i="2"/>
  <c r="H1842" i="2" s="1"/>
  <c r="E1842" i="2"/>
  <c r="B1842" i="2"/>
  <c r="A1842" i="2"/>
  <c r="A2224" i="2"/>
  <c r="B2224" i="2"/>
  <c r="F2224" i="2"/>
  <c r="H2224" i="2" s="1"/>
  <c r="E2224" i="2"/>
  <c r="E2272" i="2"/>
  <c r="B2272" i="2"/>
  <c r="A2272" i="2"/>
  <c r="F2272" i="2"/>
  <c r="H2272" i="2" s="1"/>
  <c r="B2128" i="2"/>
  <c r="F2128" i="2"/>
  <c r="H2128" i="2" s="1"/>
  <c r="E2128" i="2"/>
  <c r="A2128" i="2"/>
  <c r="F1886" i="2"/>
  <c r="H1886" i="2" s="1"/>
  <c r="E1886" i="2"/>
  <c r="B1886" i="2"/>
  <c r="A1886" i="2"/>
  <c r="F1934" i="2"/>
  <c r="H1934" i="2" s="1"/>
  <c r="E1934" i="2"/>
  <c r="A1934" i="2"/>
  <c r="B1934" i="2"/>
  <c r="F2006" i="2"/>
  <c r="H2006" i="2" s="1"/>
  <c r="E2006" i="2"/>
  <c r="B2006" i="2"/>
  <c r="A2006" i="2"/>
  <c r="A2249" i="2"/>
  <c r="E2249" i="2"/>
  <c r="F2249" i="2"/>
  <c r="H2249" i="2" s="1"/>
  <c r="B2249" i="2"/>
  <c r="F2305" i="2"/>
  <c r="H2305" i="2" s="1"/>
  <c r="B2305" i="2"/>
  <c r="A2305" i="2"/>
  <c r="E2305" i="2"/>
  <c r="F1891" i="2"/>
  <c r="H1891" i="2" s="1"/>
  <c r="A1891" i="2"/>
  <c r="E1891" i="2"/>
  <c r="B1891" i="2"/>
  <c r="F1939" i="2"/>
  <c r="H1939" i="2" s="1"/>
  <c r="E1939" i="2"/>
  <c r="B1939" i="2"/>
  <c r="A1939" i="2"/>
  <c r="F1987" i="2"/>
  <c r="H1987" i="2" s="1"/>
  <c r="E1987" i="2"/>
  <c r="B1987" i="2"/>
  <c r="A1987" i="2"/>
  <c r="F2231" i="2"/>
  <c r="H2231" i="2" s="1"/>
  <c r="E2231" i="2"/>
  <c r="B2231" i="2"/>
  <c r="A2231" i="2"/>
  <c r="E2314" i="2"/>
  <c r="A2314" i="2"/>
  <c r="F2314" i="2"/>
  <c r="H2314" i="2" s="1"/>
  <c r="B2314" i="2"/>
  <c r="E2324" i="2"/>
  <c r="A2324" i="2"/>
  <c r="F2324" i="2"/>
  <c r="H2324" i="2" s="1"/>
  <c r="B2324" i="2"/>
  <c r="F2442" i="2"/>
  <c r="H2442" i="2" s="1"/>
  <c r="B2442" i="2"/>
  <c r="A2442" i="2"/>
  <c r="E2442" i="2"/>
  <c r="A2222" i="2"/>
  <c r="F2222" i="2"/>
  <c r="H2222" i="2" s="1"/>
  <c r="E2222" i="2"/>
  <c r="B2222" i="2"/>
  <c r="E2608" i="2"/>
  <c r="A2608" i="2"/>
  <c r="F2608" i="2"/>
  <c r="H2608" i="2" s="1"/>
  <c r="B2608" i="2"/>
  <c r="F2519" i="2"/>
  <c r="H2519" i="2" s="1"/>
  <c r="E2519" i="2"/>
  <c r="B2519" i="2"/>
  <c r="A2519" i="2"/>
  <c r="F2171" i="2"/>
  <c r="H2171" i="2" s="1"/>
  <c r="E2171" i="2"/>
  <c r="B2171" i="2"/>
  <c r="A2171" i="2"/>
  <c r="F2219" i="2"/>
  <c r="H2219" i="2" s="1"/>
  <c r="E2219" i="2"/>
  <c r="B2219" i="2"/>
  <c r="A2219" i="2"/>
  <c r="E2310" i="2"/>
  <c r="A2310" i="2"/>
  <c r="F2310" i="2"/>
  <c r="H2310" i="2" s="1"/>
  <c r="B2310" i="2"/>
  <c r="F2508" i="2"/>
  <c r="H2508" i="2" s="1"/>
  <c r="B2508" i="2"/>
  <c r="A2508" i="2"/>
  <c r="E2508" i="2"/>
  <c r="F2307" i="2"/>
  <c r="H2307" i="2" s="1"/>
  <c r="E2307" i="2"/>
  <c r="B2307" i="2"/>
  <c r="A2307" i="2"/>
  <c r="A2697" i="2"/>
  <c r="F2697" i="2"/>
  <c r="H2697" i="2" s="1"/>
  <c r="E2697" i="2"/>
  <c r="B2697" i="2"/>
  <c r="A2462" i="2"/>
  <c r="F2462" i="2"/>
  <c r="H2462" i="2" s="1"/>
  <c r="E2462" i="2"/>
  <c r="B2462" i="2"/>
  <c r="E2678" i="2"/>
  <c r="A2678" i="2"/>
  <c r="F2678" i="2"/>
  <c r="H2678" i="2" s="1"/>
  <c r="B2678" i="2"/>
  <c r="F2698" i="2"/>
  <c r="H2698" i="2" s="1"/>
  <c r="E2698" i="2"/>
  <c r="B2698" i="2"/>
  <c r="A2698" i="2"/>
  <c r="F2478" i="2"/>
  <c r="H2478" i="2" s="1"/>
  <c r="B2478" i="2"/>
  <c r="A2478" i="2"/>
  <c r="E2478" i="2"/>
  <c r="E2673" i="2"/>
  <c r="A2673" i="2"/>
  <c r="F2673" i="2"/>
  <c r="H2673" i="2" s="1"/>
  <c r="B2673" i="2"/>
  <c r="F2590" i="2"/>
  <c r="H2590" i="2" s="1"/>
  <c r="E2590" i="2"/>
  <c r="A2590" i="2"/>
  <c r="B2590" i="2"/>
  <c r="F2418" i="2"/>
  <c r="H2418" i="2" s="1"/>
  <c r="B2418" i="2"/>
  <c r="A2418" i="2"/>
  <c r="E2418" i="2"/>
  <c r="B2666" i="2"/>
  <c r="F2666" i="2"/>
  <c r="H2666" i="2" s="1"/>
  <c r="A2666" i="2"/>
  <c r="E2666" i="2"/>
  <c r="F2637" i="2"/>
  <c r="H2637" i="2" s="1"/>
  <c r="E2637" i="2"/>
  <c r="B2637" i="2"/>
  <c r="A2637" i="2"/>
  <c r="B2647" i="2"/>
  <c r="E2647" i="2"/>
  <c r="F2647" i="2"/>
  <c r="H2647" i="2" s="1"/>
  <c r="A2647" i="2"/>
  <c r="B2570" i="2"/>
  <c r="F2570" i="2"/>
  <c r="H2570" i="2" s="1"/>
  <c r="E2570" i="2"/>
  <c r="A2570" i="2"/>
  <c r="E2339" i="2"/>
  <c r="A2339" i="2"/>
  <c r="F2339" i="2"/>
  <c r="H2339" i="2" s="1"/>
  <c r="B2339" i="2"/>
  <c r="E2363" i="2"/>
  <c r="B2363" i="2"/>
  <c r="F2363" i="2"/>
  <c r="H2363" i="2" s="1"/>
  <c r="A2363" i="2"/>
  <c r="E2387" i="2"/>
  <c r="B2387" i="2"/>
  <c r="F2387" i="2"/>
  <c r="H2387" i="2" s="1"/>
  <c r="A2387" i="2"/>
  <c r="E2411" i="2"/>
  <c r="B2411" i="2"/>
  <c r="F2411" i="2"/>
  <c r="H2411" i="2" s="1"/>
  <c r="A2411" i="2"/>
  <c r="E2435" i="2"/>
  <c r="B2435" i="2"/>
  <c r="F2435" i="2"/>
  <c r="H2435" i="2" s="1"/>
  <c r="A2435" i="2"/>
  <c r="E2459" i="2"/>
  <c r="B2459" i="2"/>
  <c r="F2459" i="2"/>
  <c r="H2459" i="2" s="1"/>
  <c r="A2459" i="2"/>
  <c r="E2483" i="2"/>
  <c r="B2483" i="2"/>
  <c r="F2483" i="2"/>
  <c r="H2483" i="2" s="1"/>
  <c r="A2483" i="2"/>
  <c r="F2516" i="2"/>
  <c r="H2516" i="2" s="1"/>
  <c r="B2516" i="2"/>
  <c r="E2516" i="2"/>
  <c r="A2516" i="2"/>
  <c r="F2670" i="2"/>
  <c r="H2670" i="2" s="1"/>
  <c r="B2670" i="2"/>
  <c r="A2670" i="2"/>
  <c r="E2670" i="2"/>
  <c r="A2676" i="2"/>
  <c r="F2676" i="2"/>
  <c r="H2676" i="2" s="1"/>
  <c r="E2676" i="2"/>
  <c r="B2676" i="2"/>
  <c r="E2648" i="2"/>
  <c r="F2648" i="2"/>
  <c r="H2648" i="2" s="1"/>
  <c r="B2648" i="2"/>
  <c r="A2648" i="2"/>
  <c r="F223" i="2"/>
  <c r="H223" i="2" s="1"/>
  <c r="B223" i="2"/>
  <c r="A223" i="2"/>
  <c r="E223" i="2"/>
  <c r="B214" i="2"/>
  <c r="A214" i="2"/>
  <c r="F214" i="2"/>
  <c r="H214" i="2" s="1"/>
  <c r="E214" i="2"/>
  <c r="B186" i="2"/>
  <c r="A186" i="2"/>
  <c r="F186" i="2"/>
  <c r="H186" i="2" s="1"/>
  <c r="E186" i="2"/>
  <c r="B210" i="2"/>
  <c r="A210" i="2"/>
  <c r="E210" i="2"/>
  <c r="F210" i="2"/>
  <c r="H210" i="2" s="1"/>
  <c r="A140" i="2"/>
  <c r="E140" i="2"/>
  <c r="B140" i="2"/>
  <c r="F140" i="2"/>
  <c r="H140" i="2" s="1"/>
  <c r="A212" i="2"/>
  <c r="E212" i="2"/>
  <c r="B212" i="2"/>
  <c r="F212" i="2"/>
  <c r="H212" i="2" s="1"/>
  <c r="F114" i="2"/>
  <c r="H114" i="2" s="1"/>
  <c r="B114" i="2"/>
  <c r="E114" i="2"/>
  <c r="A114" i="2"/>
  <c r="A348" i="2"/>
  <c r="E348" i="2"/>
  <c r="B348" i="2"/>
  <c r="F348" i="2"/>
  <c r="H348" i="2" s="1"/>
  <c r="A545" i="2"/>
  <c r="E545" i="2"/>
  <c r="B545" i="2"/>
  <c r="F545" i="2"/>
  <c r="H545" i="2" s="1"/>
  <c r="F289" i="2"/>
  <c r="H289" i="2" s="1"/>
  <c r="A289" i="2"/>
  <c r="B289" i="2"/>
  <c r="E289" i="2"/>
  <c r="F109" i="2"/>
  <c r="H109" i="2" s="1"/>
  <c r="E109" i="2"/>
  <c r="B109" i="2"/>
  <c r="A109" i="2"/>
  <c r="F253" i="2"/>
  <c r="H253" i="2" s="1"/>
  <c r="E253" i="2"/>
  <c r="B253" i="2"/>
  <c r="A253" i="2"/>
  <c r="F329" i="2"/>
  <c r="H329" i="2" s="1"/>
  <c r="E329" i="2"/>
  <c r="A329" i="2"/>
  <c r="B329" i="2"/>
  <c r="F377" i="2"/>
  <c r="H377" i="2" s="1"/>
  <c r="E377" i="2"/>
  <c r="A377" i="2"/>
  <c r="B377" i="2"/>
  <c r="A1145" i="2"/>
  <c r="E1145" i="2"/>
  <c r="B1145" i="2"/>
  <c r="F1145" i="2"/>
  <c r="H1145" i="2" s="1"/>
  <c r="E264" i="2"/>
  <c r="B264" i="2"/>
  <c r="A264" i="2"/>
  <c r="F264" i="2"/>
  <c r="H264" i="2" s="1"/>
  <c r="F31" i="2"/>
  <c r="H31" i="2" s="1"/>
  <c r="E31" i="2"/>
  <c r="B31" i="2"/>
  <c r="A31" i="2"/>
  <c r="E55" i="2"/>
  <c r="B55" i="2"/>
  <c r="F55" i="2"/>
  <c r="H55" i="2" s="1"/>
  <c r="A55" i="2"/>
  <c r="B79" i="2"/>
  <c r="F79" i="2"/>
  <c r="H79" i="2" s="1"/>
  <c r="E79" i="2"/>
  <c r="A79" i="2"/>
  <c r="F123" i="2"/>
  <c r="H123" i="2" s="1"/>
  <c r="E123" i="2"/>
  <c r="B123" i="2"/>
  <c r="A123" i="2"/>
  <c r="F267" i="2"/>
  <c r="H267" i="2" s="1"/>
  <c r="E267" i="2"/>
  <c r="B267" i="2"/>
  <c r="A267" i="2"/>
  <c r="F1874" i="2"/>
  <c r="H1874" i="2" s="1"/>
  <c r="B1874" i="2"/>
  <c r="A1874" i="2"/>
  <c r="E1874" i="2"/>
  <c r="F241" i="2"/>
  <c r="H241" i="2" s="1"/>
  <c r="E241" i="2"/>
  <c r="B241" i="2"/>
  <c r="A241" i="2"/>
  <c r="F325" i="2"/>
  <c r="H325" i="2" s="1"/>
  <c r="E325" i="2"/>
  <c r="A325" i="2"/>
  <c r="B325" i="2"/>
  <c r="F373" i="2"/>
  <c r="H373" i="2" s="1"/>
  <c r="E373" i="2"/>
  <c r="A373" i="2"/>
  <c r="B373" i="2"/>
  <c r="B494" i="2"/>
  <c r="A494" i="2"/>
  <c r="F494" i="2"/>
  <c r="H494" i="2" s="1"/>
  <c r="E494" i="2"/>
  <c r="F228" i="2"/>
  <c r="H228" i="2" s="1"/>
  <c r="E228" i="2"/>
  <c r="B228" i="2"/>
  <c r="A228" i="2"/>
  <c r="E789" i="2"/>
  <c r="B789" i="2"/>
  <c r="A789" i="2"/>
  <c r="F789" i="2"/>
  <c r="H789" i="2" s="1"/>
  <c r="F189" i="2"/>
  <c r="H189" i="2" s="1"/>
  <c r="E189" i="2"/>
  <c r="B189" i="2"/>
  <c r="A189" i="2"/>
  <c r="A420" i="2"/>
  <c r="F420" i="2"/>
  <c r="H420" i="2" s="1"/>
  <c r="E420" i="2"/>
  <c r="B420" i="2"/>
  <c r="F128" i="2"/>
  <c r="H128" i="2" s="1"/>
  <c r="E128" i="2"/>
  <c r="B128" i="2"/>
  <c r="A128" i="2"/>
  <c r="F272" i="2"/>
  <c r="H272" i="2" s="1"/>
  <c r="E272" i="2"/>
  <c r="B272" i="2"/>
  <c r="A272" i="2"/>
  <c r="F347" i="2"/>
  <c r="H347" i="2" s="1"/>
  <c r="E347" i="2"/>
  <c r="A347" i="2"/>
  <c r="B347" i="2"/>
  <c r="F395" i="2"/>
  <c r="H395" i="2" s="1"/>
  <c r="E395" i="2"/>
  <c r="A395" i="2"/>
  <c r="B395" i="2"/>
  <c r="F137" i="2"/>
  <c r="H137" i="2" s="1"/>
  <c r="E137" i="2"/>
  <c r="B137" i="2"/>
  <c r="A137" i="2"/>
  <c r="F281" i="2"/>
  <c r="H281" i="2" s="1"/>
  <c r="E281" i="2"/>
  <c r="B281" i="2"/>
  <c r="A281" i="2"/>
  <c r="E88" i="2"/>
  <c r="B88" i="2"/>
  <c r="A88" i="2"/>
  <c r="F88" i="2"/>
  <c r="H88" i="2" s="1"/>
  <c r="F172" i="2"/>
  <c r="H172" i="2" s="1"/>
  <c r="E172" i="2"/>
  <c r="B172" i="2"/>
  <c r="A172" i="2"/>
  <c r="B514" i="2"/>
  <c r="A514" i="2"/>
  <c r="F514" i="2"/>
  <c r="H514" i="2" s="1"/>
  <c r="E514" i="2"/>
  <c r="F485" i="2"/>
  <c r="H485" i="2" s="1"/>
  <c r="E485" i="2"/>
  <c r="B485" i="2"/>
  <c r="A485" i="2"/>
  <c r="B925" i="2"/>
  <c r="A925" i="2"/>
  <c r="F925" i="2"/>
  <c r="H925" i="2" s="1"/>
  <c r="E925" i="2"/>
  <c r="E472" i="2"/>
  <c r="B472" i="2"/>
  <c r="A472" i="2"/>
  <c r="F472" i="2"/>
  <c r="H472" i="2" s="1"/>
  <c r="E601" i="2"/>
  <c r="B601" i="2"/>
  <c r="A601" i="2"/>
  <c r="F601" i="2"/>
  <c r="H601" i="2" s="1"/>
  <c r="E697" i="2"/>
  <c r="B697" i="2"/>
  <c r="A697" i="2"/>
  <c r="F697" i="2"/>
  <c r="H697" i="2" s="1"/>
  <c r="A488" i="2"/>
  <c r="F488" i="2"/>
  <c r="H488" i="2" s="1"/>
  <c r="E488" i="2"/>
  <c r="B488" i="2"/>
  <c r="F438" i="2"/>
  <c r="H438" i="2" s="1"/>
  <c r="B438" i="2"/>
  <c r="A438" i="2"/>
  <c r="E438" i="2"/>
  <c r="A735" i="2"/>
  <c r="F735" i="2"/>
  <c r="H735" i="2" s="1"/>
  <c r="B735" i="2"/>
  <c r="E735" i="2"/>
  <c r="E984" i="2"/>
  <c r="B984" i="2"/>
  <c r="F984" i="2"/>
  <c r="H984" i="2" s="1"/>
  <c r="A984" i="2"/>
  <c r="F508" i="2"/>
  <c r="H508" i="2" s="1"/>
  <c r="E508" i="2"/>
  <c r="A508" i="2"/>
  <c r="B508" i="2"/>
  <c r="F621" i="2"/>
  <c r="H621" i="2" s="1"/>
  <c r="E621" i="2"/>
  <c r="B621" i="2"/>
  <c r="A621" i="2"/>
  <c r="A785" i="2"/>
  <c r="F785" i="2"/>
  <c r="H785" i="2" s="1"/>
  <c r="E785" i="2"/>
  <c r="B785" i="2"/>
  <c r="F517" i="2"/>
  <c r="H517" i="2" s="1"/>
  <c r="E517" i="2"/>
  <c r="B517" i="2"/>
  <c r="A517" i="2"/>
  <c r="F467" i="2"/>
  <c r="H467" i="2" s="1"/>
  <c r="E467" i="2"/>
  <c r="B467" i="2"/>
  <c r="A467" i="2"/>
  <c r="E818" i="2"/>
  <c r="B818" i="2"/>
  <c r="F818" i="2"/>
  <c r="H818" i="2" s="1"/>
  <c r="A818" i="2"/>
  <c r="E1008" i="2"/>
  <c r="B1008" i="2"/>
  <c r="F1008" i="2"/>
  <c r="H1008" i="2" s="1"/>
  <c r="A1008" i="2"/>
  <c r="F537" i="2"/>
  <c r="H537" i="2" s="1"/>
  <c r="E537" i="2"/>
  <c r="B537" i="2"/>
  <c r="A537" i="2"/>
  <c r="F659" i="2"/>
  <c r="H659" i="2" s="1"/>
  <c r="E659" i="2"/>
  <c r="B659" i="2"/>
  <c r="A659" i="2"/>
  <c r="E746" i="2"/>
  <c r="F746" i="2"/>
  <c r="H746" i="2" s="1"/>
  <c r="B746" i="2"/>
  <c r="A746" i="2"/>
  <c r="F500" i="2"/>
  <c r="H500" i="2" s="1"/>
  <c r="E500" i="2"/>
  <c r="B500" i="2"/>
  <c r="A500" i="2"/>
  <c r="F815" i="2"/>
  <c r="H815" i="2" s="1"/>
  <c r="E815" i="2"/>
  <c r="B815" i="2"/>
  <c r="A815" i="2"/>
  <c r="F1040" i="2"/>
  <c r="H1040" i="2" s="1"/>
  <c r="E1040" i="2"/>
  <c r="B1040" i="2"/>
  <c r="A1040" i="2"/>
  <c r="E846" i="2"/>
  <c r="B846" i="2"/>
  <c r="F846" i="2"/>
  <c r="H846" i="2" s="1"/>
  <c r="A846" i="2"/>
  <c r="E894" i="2"/>
  <c r="B894" i="2"/>
  <c r="A894" i="2"/>
  <c r="F894" i="2"/>
  <c r="H894" i="2" s="1"/>
  <c r="E942" i="2"/>
  <c r="B942" i="2"/>
  <c r="F942" i="2"/>
  <c r="H942" i="2" s="1"/>
  <c r="A942" i="2"/>
  <c r="E990" i="2"/>
  <c r="B990" i="2"/>
  <c r="A990" i="2"/>
  <c r="F990" i="2"/>
  <c r="H990" i="2" s="1"/>
  <c r="E1038" i="2"/>
  <c r="B1038" i="2"/>
  <c r="F1038" i="2"/>
  <c r="H1038" i="2" s="1"/>
  <c r="A1038" i="2"/>
  <c r="B1061" i="2"/>
  <c r="F1061" i="2"/>
  <c r="H1061" i="2" s="1"/>
  <c r="E1061" i="2"/>
  <c r="A1061" i="2"/>
  <c r="F546" i="2"/>
  <c r="H546" i="2" s="1"/>
  <c r="E546" i="2"/>
  <c r="B546" i="2"/>
  <c r="A546" i="2"/>
  <c r="E570" i="2"/>
  <c r="F570" i="2"/>
  <c r="H570" i="2" s="1"/>
  <c r="B570" i="2"/>
  <c r="A570" i="2"/>
  <c r="E594" i="2"/>
  <c r="F594" i="2"/>
  <c r="H594" i="2" s="1"/>
  <c r="A594" i="2"/>
  <c r="B594" i="2"/>
  <c r="E618" i="2"/>
  <c r="F618" i="2"/>
  <c r="H618" i="2" s="1"/>
  <c r="B618" i="2"/>
  <c r="A618" i="2"/>
  <c r="E642" i="2"/>
  <c r="F642" i="2"/>
  <c r="H642" i="2" s="1"/>
  <c r="B642" i="2"/>
  <c r="A642" i="2"/>
  <c r="E666" i="2"/>
  <c r="F666" i="2"/>
  <c r="H666" i="2" s="1"/>
  <c r="B666" i="2"/>
  <c r="A666" i="2"/>
  <c r="E690" i="2"/>
  <c r="F690" i="2"/>
  <c r="H690" i="2" s="1"/>
  <c r="A690" i="2"/>
  <c r="B690" i="2"/>
  <c r="E714" i="2"/>
  <c r="F714" i="2"/>
  <c r="H714" i="2" s="1"/>
  <c r="B714" i="2"/>
  <c r="A714" i="2"/>
  <c r="E738" i="2"/>
  <c r="F738" i="2"/>
  <c r="H738" i="2" s="1"/>
  <c r="B738" i="2"/>
  <c r="A738" i="2"/>
  <c r="F751" i="2"/>
  <c r="H751" i="2" s="1"/>
  <c r="B751" i="2"/>
  <c r="E751" i="2"/>
  <c r="A751" i="2"/>
  <c r="F849" i="2"/>
  <c r="H849" i="2" s="1"/>
  <c r="E849" i="2"/>
  <c r="B849" i="2"/>
  <c r="A849" i="2"/>
  <c r="F897" i="2"/>
  <c r="H897" i="2" s="1"/>
  <c r="E897" i="2"/>
  <c r="B897" i="2"/>
  <c r="A897" i="2"/>
  <c r="F945" i="2"/>
  <c r="H945" i="2" s="1"/>
  <c r="E945" i="2"/>
  <c r="B945" i="2"/>
  <c r="A945" i="2"/>
  <c r="F993" i="2"/>
  <c r="H993" i="2" s="1"/>
  <c r="E993" i="2"/>
  <c r="B993" i="2"/>
  <c r="A993" i="2"/>
  <c r="B1075" i="2"/>
  <c r="A1075" i="2"/>
  <c r="F1075" i="2"/>
  <c r="H1075" i="2" s="1"/>
  <c r="E1075" i="2"/>
  <c r="B1277" i="2"/>
  <c r="A1277" i="2"/>
  <c r="F1277" i="2"/>
  <c r="H1277" i="2" s="1"/>
  <c r="E1277" i="2"/>
  <c r="B1063" i="2"/>
  <c r="F1063" i="2"/>
  <c r="H1063" i="2" s="1"/>
  <c r="E1063" i="2"/>
  <c r="A1063" i="2"/>
  <c r="F839" i="2"/>
  <c r="H839" i="2" s="1"/>
  <c r="E839" i="2"/>
  <c r="B839" i="2"/>
  <c r="A839" i="2"/>
  <c r="F887" i="2"/>
  <c r="H887" i="2" s="1"/>
  <c r="E887" i="2"/>
  <c r="B887" i="2"/>
  <c r="A887" i="2"/>
  <c r="F935" i="2"/>
  <c r="H935" i="2" s="1"/>
  <c r="E935" i="2"/>
  <c r="B935" i="2"/>
  <c r="A935" i="2"/>
  <c r="F983" i="2"/>
  <c r="H983" i="2" s="1"/>
  <c r="E983" i="2"/>
  <c r="B983" i="2"/>
  <c r="A983" i="2"/>
  <c r="F1031" i="2"/>
  <c r="H1031" i="2" s="1"/>
  <c r="E1031" i="2"/>
  <c r="B1031" i="2"/>
  <c r="A1031" i="2"/>
  <c r="E1161" i="2"/>
  <c r="B1161" i="2"/>
  <c r="A1161" i="2"/>
  <c r="F1161" i="2"/>
  <c r="H1161" i="2" s="1"/>
  <c r="A1185" i="2"/>
  <c r="F1185" i="2"/>
  <c r="H1185" i="2" s="1"/>
  <c r="B1185" i="2"/>
  <c r="E1185" i="2"/>
  <c r="F1536" i="2"/>
  <c r="H1536" i="2" s="1"/>
  <c r="E1536" i="2"/>
  <c r="A1536" i="2"/>
  <c r="B1536" i="2"/>
  <c r="E1318" i="2"/>
  <c r="B1318" i="2"/>
  <c r="F1318" i="2"/>
  <c r="H1318" i="2" s="1"/>
  <c r="A1318" i="2"/>
  <c r="A1361" i="2"/>
  <c r="E1361" i="2"/>
  <c r="B1361" i="2"/>
  <c r="F1361" i="2"/>
  <c r="H1361" i="2" s="1"/>
  <c r="F1207" i="2"/>
  <c r="H1207" i="2" s="1"/>
  <c r="E1207" i="2"/>
  <c r="B1207" i="2"/>
  <c r="A1207" i="2"/>
  <c r="F1085" i="2"/>
  <c r="H1085" i="2" s="1"/>
  <c r="E1085" i="2"/>
  <c r="B1085" i="2"/>
  <c r="A1085" i="2"/>
  <c r="F1044" i="2"/>
  <c r="H1044" i="2" s="1"/>
  <c r="E1044" i="2"/>
  <c r="B1044" i="2"/>
  <c r="A1044" i="2"/>
  <c r="F1068" i="2"/>
  <c r="H1068" i="2" s="1"/>
  <c r="E1068" i="2"/>
  <c r="B1068" i="2"/>
  <c r="A1068" i="2"/>
  <c r="E1354" i="2"/>
  <c r="B1354" i="2"/>
  <c r="A1354" i="2"/>
  <c r="F1354" i="2"/>
  <c r="H1354" i="2" s="1"/>
  <c r="F1205" i="2"/>
  <c r="H1205" i="2" s="1"/>
  <c r="E1205" i="2"/>
  <c r="B1205" i="2"/>
  <c r="A1205" i="2"/>
  <c r="A1395" i="2"/>
  <c r="B1395" i="2"/>
  <c r="F1395" i="2"/>
  <c r="H1395" i="2" s="1"/>
  <c r="E1395" i="2"/>
  <c r="A1711" i="2"/>
  <c r="F1711" i="2"/>
  <c r="H1711" i="2" s="1"/>
  <c r="E1711" i="2"/>
  <c r="B1711" i="2"/>
  <c r="E1472" i="2"/>
  <c r="B1472" i="2"/>
  <c r="A1472" i="2"/>
  <c r="F1472" i="2"/>
  <c r="H1472" i="2" s="1"/>
  <c r="E1316" i="2"/>
  <c r="B1316" i="2"/>
  <c r="A1316" i="2"/>
  <c r="F1316" i="2"/>
  <c r="H1316" i="2" s="1"/>
  <c r="E1382" i="2"/>
  <c r="B1382" i="2"/>
  <c r="F1382" i="2"/>
  <c r="H1382" i="2" s="1"/>
  <c r="A1382" i="2"/>
  <c r="A1767" i="2"/>
  <c r="B1767" i="2"/>
  <c r="F1767" i="2"/>
  <c r="H1767" i="2" s="1"/>
  <c r="E1767" i="2"/>
  <c r="F1566" i="2"/>
  <c r="H1566" i="2" s="1"/>
  <c r="E1566" i="2"/>
  <c r="A1566" i="2"/>
  <c r="B1566" i="2"/>
  <c r="E1350" i="2"/>
  <c r="B1350" i="2"/>
  <c r="F1350" i="2"/>
  <c r="H1350" i="2" s="1"/>
  <c r="A1350" i="2"/>
  <c r="A1495" i="2"/>
  <c r="F1495" i="2"/>
  <c r="H1495" i="2" s="1"/>
  <c r="E1495" i="2"/>
  <c r="B1495" i="2"/>
  <c r="B1088" i="2"/>
  <c r="A1088" i="2"/>
  <c r="F1088" i="2"/>
  <c r="H1088" i="2" s="1"/>
  <c r="E1088" i="2"/>
  <c r="B1112" i="2"/>
  <c r="A1112" i="2"/>
  <c r="F1112" i="2"/>
  <c r="H1112" i="2" s="1"/>
  <c r="E1112" i="2"/>
  <c r="B1136" i="2"/>
  <c r="A1136" i="2"/>
  <c r="F1136" i="2"/>
  <c r="H1136" i="2" s="1"/>
  <c r="E1136" i="2"/>
  <c r="F1160" i="2"/>
  <c r="H1160" i="2" s="1"/>
  <c r="E1160" i="2"/>
  <c r="B1160" i="2"/>
  <c r="A1160" i="2"/>
  <c r="F1184" i="2"/>
  <c r="H1184" i="2" s="1"/>
  <c r="B1184" i="2"/>
  <c r="E1184" i="2"/>
  <c r="A1184" i="2"/>
  <c r="F1208" i="2"/>
  <c r="H1208" i="2" s="1"/>
  <c r="B1208" i="2"/>
  <c r="E1208" i="2"/>
  <c r="A1208" i="2"/>
  <c r="F1232" i="2"/>
  <c r="H1232" i="2" s="1"/>
  <c r="B1232" i="2"/>
  <c r="E1232" i="2"/>
  <c r="A1232" i="2"/>
  <c r="F1256" i="2"/>
  <c r="H1256" i="2" s="1"/>
  <c r="B1256" i="2"/>
  <c r="E1256" i="2"/>
  <c r="A1256" i="2"/>
  <c r="F1280" i="2"/>
  <c r="H1280" i="2" s="1"/>
  <c r="B1280" i="2"/>
  <c r="E1280" i="2"/>
  <c r="A1280" i="2"/>
  <c r="F1377" i="2"/>
  <c r="H1377" i="2" s="1"/>
  <c r="E1377" i="2"/>
  <c r="B1377" i="2"/>
  <c r="A1377" i="2"/>
  <c r="A1723" i="2"/>
  <c r="F1723" i="2"/>
  <c r="H1723" i="2" s="1"/>
  <c r="E1723" i="2"/>
  <c r="B1723" i="2"/>
  <c r="E1394" i="2"/>
  <c r="F1394" i="2"/>
  <c r="H1394" i="2" s="1"/>
  <c r="B1394" i="2"/>
  <c r="A1394" i="2"/>
  <c r="A1783" i="2"/>
  <c r="B1783" i="2"/>
  <c r="F1783" i="2"/>
  <c r="H1783" i="2" s="1"/>
  <c r="E1783" i="2"/>
  <c r="F1305" i="2"/>
  <c r="H1305" i="2" s="1"/>
  <c r="E1305" i="2"/>
  <c r="B1305" i="2"/>
  <c r="A1305" i="2"/>
  <c r="F1375" i="2"/>
  <c r="H1375" i="2" s="1"/>
  <c r="E1375" i="2"/>
  <c r="B1375" i="2"/>
  <c r="A1375" i="2"/>
  <c r="A1576" i="2"/>
  <c r="F1576" i="2"/>
  <c r="H1576" i="2" s="1"/>
  <c r="E1576" i="2"/>
  <c r="B1576" i="2"/>
  <c r="A1733" i="2"/>
  <c r="B1733" i="2"/>
  <c r="F1733" i="2"/>
  <c r="H1733" i="2" s="1"/>
  <c r="E1733" i="2"/>
  <c r="E1502" i="2"/>
  <c r="F1502" i="2"/>
  <c r="H1502" i="2" s="1"/>
  <c r="B1502" i="2"/>
  <c r="A1502" i="2"/>
  <c r="A1543" i="2"/>
  <c r="F1543" i="2"/>
  <c r="H1543" i="2" s="1"/>
  <c r="E1543" i="2"/>
  <c r="B1543" i="2"/>
  <c r="A1604" i="2"/>
  <c r="F1604" i="2"/>
  <c r="H1604" i="2" s="1"/>
  <c r="E1604" i="2"/>
  <c r="B1604" i="2"/>
  <c r="A1683" i="2"/>
  <c r="F1683" i="2"/>
  <c r="H1683" i="2" s="1"/>
  <c r="E1683" i="2"/>
  <c r="B1683" i="2"/>
  <c r="A1471" i="2"/>
  <c r="E1471" i="2"/>
  <c r="F1471" i="2"/>
  <c r="H1471" i="2" s="1"/>
  <c r="B1471" i="2"/>
  <c r="E1464" i="2"/>
  <c r="F1464" i="2"/>
  <c r="H1464" i="2" s="1"/>
  <c r="A1464" i="2"/>
  <c r="B1464" i="2"/>
  <c r="A1699" i="2"/>
  <c r="F1699" i="2"/>
  <c r="H1699" i="2" s="1"/>
  <c r="E1699" i="2"/>
  <c r="B1699" i="2"/>
  <c r="A1535" i="2"/>
  <c r="F1535" i="2"/>
  <c r="H1535" i="2" s="1"/>
  <c r="E1535" i="2"/>
  <c r="B1535" i="2"/>
  <c r="F1581" i="2"/>
  <c r="H1581" i="2" s="1"/>
  <c r="E1581" i="2"/>
  <c r="B1581" i="2"/>
  <c r="A1581" i="2"/>
  <c r="B2041" i="2"/>
  <c r="E2041" i="2"/>
  <c r="F2041" i="2"/>
  <c r="H2041" i="2" s="1"/>
  <c r="A2041" i="2"/>
  <c r="A1709" i="2"/>
  <c r="B1709" i="2"/>
  <c r="F1709" i="2"/>
  <c r="H1709" i="2" s="1"/>
  <c r="E1709" i="2"/>
  <c r="A1690" i="2"/>
  <c r="F1690" i="2"/>
  <c r="H1690" i="2" s="1"/>
  <c r="E1690" i="2"/>
  <c r="B1690" i="2"/>
  <c r="E1728" i="2"/>
  <c r="B1728" i="2"/>
  <c r="A1728" i="2"/>
  <c r="F1728" i="2"/>
  <c r="H1728" i="2" s="1"/>
  <c r="A1693" i="2"/>
  <c r="F1693" i="2"/>
  <c r="H1693" i="2" s="1"/>
  <c r="E1693" i="2"/>
  <c r="B1693" i="2"/>
  <c r="E1572" i="2"/>
  <c r="B1572" i="2"/>
  <c r="A1572" i="2"/>
  <c r="F1572" i="2"/>
  <c r="H1572" i="2" s="1"/>
  <c r="F1722" i="2"/>
  <c r="H1722" i="2" s="1"/>
  <c r="A1722" i="2"/>
  <c r="E1722" i="2"/>
  <c r="B1722" i="2"/>
  <c r="F1618" i="2"/>
  <c r="H1618" i="2" s="1"/>
  <c r="B1618" i="2"/>
  <c r="A1618" i="2"/>
  <c r="E1618" i="2"/>
  <c r="A1763" i="2"/>
  <c r="F1763" i="2"/>
  <c r="H1763" i="2" s="1"/>
  <c r="E1763" i="2"/>
  <c r="B1763" i="2"/>
  <c r="F1684" i="2"/>
  <c r="H1684" i="2" s="1"/>
  <c r="E1684" i="2"/>
  <c r="B1684" i="2"/>
  <c r="A1684" i="2"/>
  <c r="F1603" i="2"/>
  <c r="H1603" i="2" s="1"/>
  <c r="E1603" i="2"/>
  <c r="B1603" i="2"/>
  <c r="A1603" i="2"/>
  <c r="A1749" i="2"/>
  <c r="F1749" i="2"/>
  <c r="H1749" i="2" s="1"/>
  <c r="E1749" i="2"/>
  <c r="B1749" i="2"/>
  <c r="F1625" i="2"/>
  <c r="H1625" i="2" s="1"/>
  <c r="E1625" i="2"/>
  <c r="B1625" i="2"/>
  <c r="A1625" i="2"/>
  <c r="F1766" i="2"/>
  <c r="H1766" i="2" s="1"/>
  <c r="E1766" i="2"/>
  <c r="B1766" i="2"/>
  <c r="A1766" i="2"/>
  <c r="E1774" i="2"/>
  <c r="B1774" i="2"/>
  <c r="A1774" i="2"/>
  <c r="F1774" i="2"/>
  <c r="H1774" i="2" s="1"/>
  <c r="B1798" i="2"/>
  <c r="A1798" i="2"/>
  <c r="F1798" i="2"/>
  <c r="H1798" i="2" s="1"/>
  <c r="E1798" i="2"/>
  <c r="B1822" i="2"/>
  <c r="A1822" i="2"/>
  <c r="F1822" i="2"/>
  <c r="H1822" i="2" s="1"/>
  <c r="E1822" i="2"/>
  <c r="A2149" i="2"/>
  <c r="F2149" i="2"/>
  <c r="H2149" i="2" s="1"/>
  <c r="E2149" i="2"/>
  <c r="B2149" i="2"/>
  <c r="B2035" i="2"/>
  <c r="A2035" i="2"/>
  <c r="F2035" i="2"/>
  <c r="H2035" i="2" s="1"/>
  <c r="E2035" i="2"/>
  <c r="F1866" i="2"/>
  <c r="H1866" i="2" s="1"/>
  <c r="E1866" i="2"/>
  <c r="B1866" i="2"/>
  <c r="A1866" i="2"/>
  <c r="F1864" i="2"/>
  <c r="H1864" i="2" s="1"/>
  <c r="B1864" i="2"/>
  <c r="A1864" i="2"/>
  <c r="E1864" i="2"/>
  <c r="A2010" i="2"/>
  <c r="B2010" i="2"/>
  <c r="F2010" i="2"/>
  <c r="H2010" i="2" s="1"/>
  <c r="E2010" i="2"/>
  <c r="B2033" i="2"/>
  <c r="F2033" i="2"/>
  <c r="H2033" i="2" s="1"/>
  <c r="E2033" i="2"/>
  <c r="A2033" i="2"/>
  <c r="B2019" i="2"/>
  <c r="A2019" i="2"/>
  <c r="F2019" i="2"/>
  <c r="H2019" i="2" s="1"/>
  <c r="E2019" i="2"/>
  <c r="B2063" i="2"/>
  <c r="F2063" i="2"/>
  <c r="H2063" i="2" s="1"/>
  <c r="E2063" i="2"/>
  <c r="A2063" i="2"/>
  <c r="B2093" i="2"/>
  <c r="F2093" i="2"/>
  <c r="H2093" i="2" s="1"/>
  <c r="E2093" i="2"/>
  <c r="A2093" i="2"/>
  <c r="A2228" i="2"/>
  <c r="B2228" i="2"/>
  <c r="E2228" i="2"/>
  <c r="F2228" i="2"/>
  <c r="H2228" i="2" s="1"/>
  <c r="B2153" i="2"/>
  <c r="F2153" i="2"/>
  <c r="H2153" i="2" s="1"/>
  <c r="E2153" i="2"/>
  <c r="A2153" i="2"/>
  <c r="F1890" i="2"/>
  <c r="H1890" i="2" s="1"/>
  <c r="E1890" i="2"/>
  <c r="B1890" i="2"/>
  <c r="A1890" i="2"/>
  <c r="F1914" i="2"/>
  <c r="H1914" i="2" s="1"/>
  <c r="E1914" i="2"/>
  <c r="B1914" i="2"/>
  <c r="A1914" i="2"/>
  <c r="F1938" i="2"/>
  <c r="H1938" i="2" s="1"/>
  <c r="E1938" i="2"/>
  <c r="B1938" i="2"/>
  <c r="A1938" i="2"/>
  <c r="F1962" i="2"/>
  <c r="H1962" i="2" s="1"/>
  <c r="E1962" i="2"/>
  <c r="A1962" i="2"/>
  <c r="B1962" i="2"/>
  <c r="F1986" i="2"/>
  <c r="H1986" i="2" s="1"/>
  <c r="E1986" i="2"/>
  <c r="B1986" i="2"/>
  <c r="A1986" i="2"/>
  <c r="B2034" i="2"/>
  <c r="F2034" i="2"/>
  <c r="H2034" i="2" s="1"/>
  <c r="E2034" i="2"/>
  <c r="A2034" i="2"/>
  <c r="A2172" i="2"/>
  <c r="B2172" i="2"/>
  <c r="F2172" i="2"/>
  <c r="H2172" i="2" s="1"/>
  <c r="E2172" i="2"/>
  <c r="F2382" i="2"/>
  <c r="H2382" i="2" s="1"/>
  <c r="B2382" i="2"/>
  <c r="E2382" i="2"/>
  <c r="A2382" i="2"/>
  <c r="A2273" i="2"/>
  <c r="F2273" i="2"/>
  <c r="H2273" i="2" s="1"/>
  <c r="E2273" i="2"/>
  <c r="B2273" i="2"/>
  <c r="B2090" i="2"/>
  <c r="E2090" i="2"/>
  <c r="A2090" i="2"/>
  <c r="F2090" i="2"/>
  <c r="H2090" i="2" s="1"/>
  <c r="B2059" i="2"/>
  <c r="F2059" i="2"/>
  <c r="H2059" i="2" s="1"/>
  <c r="A2059" i="2"/>
  <c r="E2059" i="2"/>
  <c r="E2318" i="2"/>
  <c r="A2318" i="2"/>
  <c r="F2318" i="2"/>
  <c r="H2318" i="2" s="1"/>
  <c r="B2318" i="2"/>
  <c r="E1895" i="2"/>
  <c r="F1895" i="2"/>
  <c r="H1895" i="2" s="1"/>
  <c r="B1895" i="2"/>
  <c r="A1895" i="2"/>
  <c r="E1919" i="2"/>
  <c r="B1919" i="2"/>
  <c r="F1919" i="2"/>
  <c r="H1919" i="2" s="1"/>
  <c r="A1919" i="2"/>
  <c r="E1943" i="2"/>
  <c r="B1943" i="2"/>
  <c r="A1943" i="2"/>
  <c r="F1943" i="2"/>
  <c r="H1943" i="2" s="1"/>
  <c r="E1967" i="2"/>
  <c r="B1967" i="2"/>
  <c r="A1967" i="2"/>
  <c r="F1967" i="2"/>
  <c r="H1967" i="2" s="1"/>
  <c r="F1991" i="2"/>
  <c r="H1991" i="2" s="1"/>
  <c r="E1991" i="2"/>
  <c r="B1991" i="2"/>
  <c r="A1991" i="2"/>
  <c r="B2064" i="2"/>
  <c r="F2064" i="2"/>
  <c r="H2064" i="2" s="1"/>
  <c r="E2064" i="2"/>
  <c r="A2064" i="2"/>
  <c r="E2332" i="2"/>
  <c r="A2332" i="2"/>
  <c r="B2332" i="2"/>
  <c r="F2332" i="2"/>
  <c r="H2332" i="2" s="1"/>
  <c r="F2564" i="2"/>
  <c r="H2564" i="2" s="1"/>
  <c r="E2564" i="2"/>
  <c r="B2564" i="2"/>
  <c r="A2564" i="2"/>
  <c r="B2114" i="2"/>
  <c r="F2114" i="2"/>
  <c r="H2114" i="2" s="1"/>
  <c r="A2114" i="2"/>
  <c r="E2114" i="2"/>
  <c r="A2186" i="2"/>
  <c r="B2186" i="2"/>
  <c r="F2186" i="2"/>
  <c r="H2186" i="2" s="1"/>
  <c r="E2186" i="2"/>
  <c r="F2456" i="2"/>
  <c r="H2456" i="2" s="1"/>
  <c r="A2456" i="2"/>
  <c r="E2456" i="2"/>
  <c r="B2456" i="2"/>
  <c r="F2480" i="2"/>
  <c r="H2480" i="2" s="1"/>
  <c r="A2480" i="2"/>
  <c r="B2480" i="2"/>
  <c r="E2480" i="2"/>
  <c r="F2528" i="2"/>
  <c r="H2528" i="2" s="1"/>
  <c r="E2528" i="2"/>
  <c r="A2528" i="2"/>
  <c r="B2528" i="2"/>
  <c r="A2664" i="2"/>
  <c r="B2664" i="2"/>
  <c r="F2664" i="2"/>
  <c r="H2664" i="2" s="1"/>
  <c r="E2664" i="2"/>
  <c r="B2275" i="2"/>
  <c r="F2275" i="2"/>
  <c r="H2275" i="2" s="1"/>
  <c r="E2275" i="2"/>
  <c r="A2275" i="2"/>
  <c r="A2436" i="2"/>
  <c r="E2436" i="2"/>
  <c r="B2436" i="2"/>
  <c r="F2436" i="2"/>
  <c r="H2436" i="2" s="1"/>
  <c r="E2264" i="2"/>
  <c r="B2264" i="2"/>
  <c r="A2264" i="2"/>
  <c r="F2264" i="2"/>
  <c r="H2264" i="2" s="1"/>
  <c r="F2574" i="2"/>
  <c r="H2574" i="2" s="1"/>
  <c r="B2574" i="2"/>
  <c r="E2574" i="2"/>
  <c r="A2574" i="2"/>
  <c r="A2558" i="2"/>
  <c r="E2558" i="2"/>
  <c r="F2558" i="2"/>
  <c r="H2558" i="2" s="1"/>
  <c r="B2558" i="2"/>
  <c r="E2175" i="2"/>
  <c r="B2175" i="2"/>
  <c r="F2175" i="2"/>
  <c r="H2175" i="2" s="1"/>
  <c r="A2175" i="2"/>
  <c r="F2199" i="2"/>
  <c r="H2199" i="2" s="1"/>
  <c r="E2199" i="2"/>
  <c r="B2199" i="2"/>
  <c r="A2199" i="2"/>
  <c r="E2223" i="2"/>
  <c r="B2223" i="2"/>
  <c r="F2223" i="2"/>
  <c r="H2223" i="2" s="1"/>
  <c r="A2223" i="2"/>
  <c r="B2327" i="2"/>
  <c r="F2327" i="2"/>
  <c r="H2327" i="2" s="1"/>
  <c r="E2327" i="2"/>
  <c r="A2327" i="2"/>
  <c r="F2561" i="2"/>
  <c r="H2561" i="2" s="1"/>
  <c r="B2561" i="2"/>
  <c r="A2561" i="2"/>
  <c r="E2561" i="2"/>
  <c r="A2410" i="2"/>
  <c r="F2410" i="2"/>
  <c r="H2410" i="2" s="1"/>
  <c r="B2410" i="2"/>
  <c r="E2410" i="2"/>
  <c r="A2236" i="2"/>
  <c r="F2236" i="2"/>
  <c r="H2236" i="2" s="1"/>
  <c r="E2236" i="2"/>
  <c r="B2236" i="2"/>
  <c r="A2521" i="2"/>
  <c r="F2521" i="2"/>
  <c r="H2521" i="2" s="1"/>
  <c r="E2521" i="2"/>
  <c r="B2521" i="2"/>
  <c r="F2414" i="2"/>
  <c r="H2414" i="2" s="1"/>
  <c r="E2414" i="2"/>
  <c r="B2414" i="2"/>
  <c r="A2414" i="2"/>
  <c r="F2713" i="2"/>
  <c r="H2713" i="2" s="1"/>
  <c r="B2713" i="2"/>
  <c r="E2713" i="2"/>
  <c r="A2713" i="2"/>
  <c r="B2346" i="2"/>
  <c r="A2346" i="2"/>
  <c r="E2346" i="2"/>
  <c r="F2346" i="2"/>
  <c r="H2346" i="2" s="1"/>
  <c r="F2507" i="2"/>
  <c r="H2507" i="2" s="1"/>
  <c r="E2507" i="2"/>
  <c r="A2507" i="2"/>
  <c r="B2507" i="2"/>
  <c r="A2688" i="2"/>
  <c r="F2688" i="2"/>
  <c r="H2688" i="2" s="1"/>
  <c r="E2688" i="2"/>
  <c r="B2688" i="2"/>
  <c r="F2613" i="2"/>
  <c r="H2613" i="2" s="1"/>
  <c r="A2613" i="2"/>
  <c r="B2613" i="2"/>
  <c r="E2613" i="2"/>
  <c r="F2458" i="2"/>
  <c r="H2458" i="2" s="1"/>
  <c r="E2458" i="2"/>
  <c r="B2458" i="2"/>
  <c r="A2458" i="2"/>
  <c r="F2681" i="2"/>
  <c r="H2681" i="2" s="1"/>
  <c r="B2681" i="2"/>
  <c r="A2681" i="2"/>
  <c r="E2681" i="2"/>
  <c r="F2643" i="2"/>
  <c r="H2643" i="2" s="1"/>
  <c r="E2643" i="2"/>
  <c r="B2643" i="2"/>
  <c r="A2643" i="2"/>
  <c r="E2656" i="2"/>
  <c r="F2656" i="2"/>
  <c r="H2656" i="2" s="1"/>
  <c r="B2656" i="2"/>
  <c r="A2656" i="2"/>
  <c r="F2625" i="2"/>
  <c r="H2625" i="2" s="1"/>
  <c r="B2625" i="2"/>
  <c r="A2625" i="2"/>
  <c r="E2625" i="2"/>
  <c r="B2343" i="2"/>
  <c r="A2343" i="2"/>
  <c r="F2343" i="2"/>
  <c r="H2343" i="2" s="1"/>
  <c r="E2343" i="2"/>
  <c r="E2367" i="2"/>
  <c r="F2367" i="2"/>
  <c r="H2367" i="2" s="1"/>
  <c r="B2367" i="2"/>
  <c r="A2367" i="2"/>
  <c r="E2391" i="2"/>
  <c r="B2391" i="2"/>
  <c r="A2391" i="2"/>
  <c r="F2391" i="2"/>
  <c r="H2391" i="2" s="1"/>
  <c r="E2415" i="2"/>
  <c r="F2415" i="2"/>
  <c r="H2415" i="2" s="1"/>
  <c r="A2415" i="2"/>
  <c r="B2415" i="2"/>
  <c r="E2439" i="2"/>
  <c r="F2439" i="2"/>
  <c r="H2439" i="2" s="1"/>
  <c r="B2439" i="2"/>
  <c r="A2439" i="2"/>
  <c r="E2463" i="2"/>
  <c r="F2463" i="2"/>
  <c r="H2463" i="2" s="1"/>
  <c r="B2463" i="2"/>
  <c r="A2463" i="2"/>
  <c r="E2487" i="2"/>
  <c r="F2487" i="2"/>
  <c r="H2487" i="2" s="1"/>
  <c r="B2487" i="2"/>
  <c r="A2487" i="2"/>
  <c r="E2545" i="2"/>
  <c r="B2545" i="2"/>
  <c r="A2545" i="2"/>
  <c r="F2545" i="2"/>
  <c r="H2545" i="2" s="1"/>
  <c r="E2556" i="2"/>
  <c r="A2556" i="2"/>
  <c r="F2556" i="2"/>
  <c r="H2556" i="2" s="1"/>
  <c r="B2556" i="2"/>
  <c r="E2700" i="2"/>
  <c r="B2700" i="2"/>
  <c r="A2700" i="2"/>
  <c r="F2700" i="2"/>
  <c r="H2700" i="2" s="1"/>
  <c r="E2672" i="2"/>
  <c r="F2672" i="2"/>
  <c r="H2672" i="2" s="1"/>
  <c r="A2672" i="2"/>
  <c r="B2672" i="2"/>
  <c r="F127" i="2"/>
  <c r="H127" i="2" s="1"/>
  <c r="B127" i="2"/>
  <c r="E127" i="2"/>
  <c r="A127" i="2"/>
  <c r="B80" i="2"/>
  <c r="A80" i="2"/>
  <c r="F80" i="2"/>
  <c r="H80" i="2" s="1"/>
  <c r="E80" i="2"/>
  <c r="B74" i="2"/>
  <c r="A74" i="2"/>
  <c r="F74" i="2"/>
  <c r="H74" i="2" s="1"/>
  <c r="E74" i="2"/>
  <c r="B490" i="2"/>
  <c r="A490" i="2"/>
  <c r="F490" i="2"/>
  <c r="H490" i="2" s="1"/>
  <c r="E490" i="2"/>
  <c r="F125" i="2"/>
  <c r="H125" i="2" s="1"/>
  <c r="B125" i="2"/>
  <c r="A125" i="2"/>
  <c r="E125" i="2"/>
  <c r="A316" i="2"/>
  <c r="E316" i="2"/>
  <c r="B316" i="2"/>
  <c r="F316" i="2"/>
  <c r="H316" i="2" s="1"/>
  <c r="F225" i="2"/>
  <c r="H225" i="2" s="1"/>
  <c r="A225" i="2"/>
  <c r="E225" i="2"/>
  <c r="B225" i="2"/>
  <c r="B38" i="2"/>
  <c r="A38" i="2"/>
  <c r="F38" i="2"/>
  <c r="H38" i="2" s="1"/>
  <c r="E38" i="2"/>
  <c r="F217" i="2"/>
  <c r="H217" i="2" s="1"/>
  <c r="E217" i="2"/>
  <c r="B217" i="2"/>
  <c r="A217" i="2"/>
  <c r="F1856" i="2"/>
  <c r="H1856" i="2" s="1"/>
  <c r="E1856" i="2"/>
  <c r="B1856" i="2"/>
  <c r="A1856" i="2"/>
  <c r="B258" i="2"/>
  <c r="A258" i="2"/>
  <c r="F258" i="2"/>
  <c r="H258" i="2" s="1"/>
  <c r="E258" i="2"/>
  <c r="B82" i="2"/>
  <c r="A82" i="2"/>
  <c r="E82" i="2"/>
  <c r="F82" i="2"/>
  <c r="H82" i="2" s="1"/>
  <c r="B166" i="2"/>
  <c r="A166" i="2"/>
  <c r="F166" i="2"/>
  <c r="H166" i="2" s="1"/>
  <c r="E166" i="2"/>
  <c r="F266" i="2"/>
  <c r="H266" i="2" s="1"/>
  <c r="E266" i="2"/>
  <c r="B266" i="2"/>
  <c r="A266" i="2"/>
  <c r="F334" i="2"/>
  <c r="H334" i="2" s="1"/>
  <c r="E334" i="2"/>
  <c r="B334" i="2"/>
  <c r="A334" i="2"/>
  <c r="F382" i="2"/>
  <c r="H382" i="2" s="1"/>
  <c r="E382" i="2"/>
  <c r="B382" i="2"/>
  <c r="A382" i="2"/>
  <c r="F131" i="2"/>
  <c r="H131" i="2" s="1"/>
  <c r="B131" i="2"/>
  <c r="A131" i="2"/>
  <c r="E131" i="2"/>
  <c r="F275" i="2"/>
  <c r="H275" i="2" s="1"/>
  <c r="B275" i="2"/>
  <c r="A275" i="2"/>
  <c r="E275" i="2"/>
  <c r="B33" i="2"/>
  <c r="A33" i="2"/>
  <c r="F33" i="2"/>
  <c r="H33" i="2" s="1"/>
  <c r="E33" i="2"/>
  <c r="B57" i="2"/>
  <c r="A57" i="2"/>
  <c r="F57" i="2"/>
  <c r="H57" i="2" s="1"/>
  <c r="E57" i="2"/>
  <c r="B81" i="2"/>
  <c r="A81" i="2"/>
  <c r="F81" i="2"/>
  <c r="H81" i="2" s="1"/>
  <c r="E81" i="2"/>
  <c r="A136" i="2"/>
  <c r="F136" i="2"/>
  <c r="H136" i="2" s="1"/>
  <c r="E136" i="2"/>
  <c r="B136" i="2"/>
  <c r="A280" i="2"/>
  <c r="E280" i="2"/>
  <c r="F280" i="2"/>
  <c r="H280" i="2" s="1"/>
  <c r="B280" i="2"/>
  <c r="F110" i="2"/>
  <c r="H110" i="2" s="1"/>
  <c r="E110" i="2"/>
  <c r="B110" i="2"/>
  <c r="A110" i="2"/>
  <c r="F254" i="2"/>
  <c r="H254" i="2" s="1"/>
  <c r="E254" i="2"/>
  <c r="B254" i="2"/>
  <c r="A254" i="2"/>
  <c r="F330" i="2"/>
  <c r="H330" i="2" s="1"/>
  <c r="E330" i="2"/>
  <c r="A330" i="2"/>
  <c r="B330" i="2"/>
  <c r="F378" i="2"/>
  <c r="H378" i="2" s="1"/>
  <c r="E378" i="2"/>
  <c r="B378" i="2"/>
  <c r="A378" i="2"/>
  <c r="B529" i="2"/>
  <c r="A529" i="2"/>
  <c r="F529" i="2"/>
  <c r="H529" i="2" s="1"/>
  <c r="E529" i="2"/>
  <c r="F239" i="2"/>
  <c r="H239" i="2" s="1"/>
  <c r="E239" i="2"/>
  <c r="B239" i="2"/>
  <c r="A239" i="2"/>
  <c r="B853" i="2"/>
  <c r="A853" i="2"/>
  <c r="F853" i="2"/>
  <c r="H853" i="2" s="1"/>
  <c r="E853" i="2"/>
  <c r="F202" i="2"/>
  <c r="H202" i="2" s="1"/>
  <c r="E202" i="2"/>
  <c r="B202" i="2"/>
  <c r="A202" i="2"/>
  <c r="E424" i="2"/>
  <c r="A424" i="2"/>
  <c r="F424" i="2"/>
  <c r="H424" i="2" s="1"/>
  <c r="B424" i="2"/>
  <c r="F139" i="2"/>
  <c r="H139" i="2" s="1"/>
  <c r="E139" i="2"/>
  <c r="B139" i="2"/>
  <c r="A139" i="2"/>
  <c r="F283" i="2"/>
  <c r="H283" i="2" s="1"/>
  <c r="E283" i="2"/>
  <c r="B283" i="2"/>
  <c r="A283" i="2"/>
  <c r="F352" i="2"/>
  <c r="H352" i="2" s="1"/>
  <c r="E352" i="2"/>
  <c r="B352" i="2"/>
  <c r="A352" i="2"/>
  <c r="F400" i="2"/>
  <c r="H400" i="2" s="1"/>
  <c r="E400" i="2"/>
  <c r="B400" i="2"/>
  <c r="A400" i="2"/>
  <c r="F150" i="2"/>
  <c r="H150" i="2" s="1"/>
  <c r="E150" i="2"/>
  <c r="B150" i="2"/>
  <c r="A150" i="2"/>
  <c r="F290" i="2"/>
  <c r="H290" i="2" s="1"/>
  <c r="E290" i="2"/>
  <c r="B290" i="2"/>
  <c r="A290" i="2"/>
  <c r="E90" i="2"/>
  <c r="B90" i="2"/>
  <c r="A90" i="2"/>
  <c r="F90" i="2"/>
  <c r="H90" i="2" s="1"/>
  <c r="F183" i="2"/>
  <c r="H183" i="2" s="1"/>
  <c r="E183" i="2"/>
  <c r="B183" i="2"/>
  <c r="A183" i="2"/>
  <c r="B591" i="2"/>
  <c r="A591" i="2"/>
  <c r="F591" i="2"/>
  <c r="H591" i="2" s="1"/>
  <c r="E591" i="2"/>
  <c r="F498" i="2"/>
  <c r="H498" i="2" s="1"/>
  <c r="E498" i="2"/>
  <c r="B498" i="2"/>
  <c r="A498" i="2"/>
  <c r="E936" i="2"/>
  <c r="B936" i="2"/>
  <c r="F936" i="2"/>
  <c r="H936" i="2" s="1"/>
  <c r="A936" i="2"/>
  <c r="E483" i="2"/>
  <c r="B483" i="2"/>
  <c r="A483" i="2"/>
  <c r="F483" i="2"/>
  <c r="H483" i="2" s="1"/>
  <c r="E609" i="2"/>
  <c r="B609" i="2"/>
  <c r="A609" i="2"/>
  <c r="F609" i="2"/>
  <c r="H609" i="2" s="1"/>
  <c r="E705" i="2"/>
  <c r="B705" i="2"/>
  <c r="A705" i="2"/>
  <c r="F705" i="2"/>
  <c r="H705" i="2" s="1"/>
  <c r="A499" i="2"/>
  <c r="E499" i="2"/>
  <c r="B499" i="2"/>
  <c r="F499" i="2"/>
  <c r="H499" i="2" s="1"/>
  <c r="F449" i="2"/>
  <c r="H449" i="2" s="1"/>
  <c r="E449" i="2"/>
  <c r="B449" i="2"/>
  <c r="A449" i="2"/>
  <c r="E802" i="2"/>
  <c r="F802" i="2"/>
  <c r="H802" i="2" s="1"/>
  <c r="B802" i="2"/>
  <c r="A802" i="2"/>
  <c r="B1005" i="2"/>
  <c r="A1005" i="2"/>
  <c r="F1005" i="2"/>
  <c r="H1005" i="2" s="1"/>
  <c r="E1005" i="2"/>
  <c r="F519" i="2"/>
  <c r="H519" i="2" s="1"/>
  <c r="E519" i="2"/>
  <c r="B519" i="2"/>
  <c r="A519" i="2"/>
  <c r="F629" i="2"/>
  <c r="H629" i="2" s="1"/>
  <c r="E629" i="2"/>
  <c r="B629" i="2"/>
  <c r="A629" i="2"/>
  <c r="F791" i="2"/>
  <c r="H791" i="2" s="1"/>
  <c r="E791" i="2"/>
  <c r="B791" i="2"/>
  <c r="A791" i="2"/>
  <c r="F530" i="2"/>
  <c r="H530" i="2" s="1"/>
  <c r="E530" i="2"/>
  <c r="B530" i="2"/>
  <c r="A530" i="2"/>
  <c r="F480" i="2"/>
  <c r="H480" i="2" s="1"/>
  <c r="E480" i="2"/>
  <c r="B480" i="2"/>
  <c r="A480" i="2"/>
  <c r="B837" i="2"/>
  <c r="A837" i="2"/>
  <c r="F837" i="2"/>
  <c r="H837" i="2" s="1"/>
  <c r="E837" i="2"/>
  <c r="B1029" i="2"/>
  <c r="A1029" i="2"/>
  <c r="F1029" i="2"/>
  <c r="H1029" i="2" s="1"/>
  <c r="E1029" i="2"/>
  <c r="F571" i="2"/>
  <c r="H571" i="2" s="1"/>
  <c r="E571" i="2"/>
  <c r="B571" i="2"/>
  <c r="A571" i="2"/>
  <c r="F667" i="2"/>
  <c r="H667" i="2" s="1"/>
  <c r="E667" i="2"/>
  <c r="B667" i="2"/>
  <c r="A667" i="2"/>
  <c r="E750" i="2"/>
  <c r="A750" i="2"/>
  <c r="F750" i="2"/>
  <c r="H750" i="2" s="1"/>
  <c r="B750" i="2"/>
  <c r="F511" i="2"/>
  <c r="H511" i="2" s="1"/>
  <c r="E511" i="2"/>
  <c r="B511" i="2"/>
  <c r="A511" i="2"/>
  <c r="E820" i="2"/>
  <c r="B820" i="2"/>
  <c r="F820" i="2"/>
  <c r="H820" i="2" s="1"/>
  <c r="A820" i="2"/>
  <c r="E1043" i="2"/>
  <c r="B1043" i="2"/>
  <c r="A1043" i="2"/>
  <c r="F1043" i="2"/>
  <c r="H1043" i="2" s="1"/>
  <c r="A851" i="2"/>
  <c r="E851" i="2"/>
  <c r="B851" i="2"/>
  <c r="F851" i="2"/>
  <c r="H851" i="2" s="1"/>
  <c r="A899" i="2"/>
  <c r="F899" i="2"/>
  <c r="H899" i="2" s="1"/>
  <c r="E899" i="2"/>
  <c r="B899" i="2"/>
  <c r="A947" i="2"/>
  <c r="E947" i="2"/>
  <c r="B947" i="2"/>
  <c r="F947" i="2"/>
  <c r="H947" i="2" s="1"/>
  <c r="A995" i="2"/>
  <c r="F995" i="2"/>
  <c r="H995" i="2" s="1"/>
  <c r="E995" i="2"/>
  <c r="B995" i="2"/>
  <c r="A1073" i="2"/>
  <c r="E1073" i="2"/>
  <c r="F1073" i="2"/>
  <c r="H1073" i="2" s="1"/>
  <c r="B1073" i="2"/>
  <c r="B1067" i="2"/>
  <c r="F1067" i="2"/>
  <c r="H1067" i="2" s="1"/>
  <c r="A1067" i="2"/>
  <c r="E1067" i="2"/>
  <c r="F548" i="2"/>
  <c r="H548" i="2" s="1"/>
  <c r="E548" i="2"/>
  <c r="B548" i="2"/>
  <c r="A548" i="2"/>
  <c r="E572" i="2"/>
  <c r="B572" i="2"/>
  <c r="A572" i="2"/>
  <c r="F572" i="2"/>
  <c r="H572" i="2" s="1"/>
  <c r="E596" i="2"/>
  <c r="B596" i="2"/>
  <c r="A596" i="2"/>
  <c r="F596" i="2"/>
  <c r="H596" i="2" s="1"/>
  <c r="E620" i="2"/>
  <c r="B620" i="2"/>
  <c r="A620" i="2"/>
  <c r="F620" i="2"/>
  <c r="H620" i="2" s="1"/>
  <c r="E644" i="2"/>
  <c r="B644" i="2"/>
  <c r="A644" i="2"/>
  <c r="F644" i="2"/>
  <c r="H644" i="2" s="1"/>
  <c r="E668" i="2"/>
  <c r="B668" i="2"/>
  <c r="A668" i="2"/>
  <c r="F668" i="2"/>
  <c r="H668" i="2" s="1"/>
  <c r="E692" i="2"/>
  <c r="B692" i="2"/>
  <c r="A692" i="2"/>
  <c r="F692" i="2"/>
  <c r="H692" i="2" s="1"/>
  <c r="E716" i="2"/>
  <c r="B716" i="2"/>
  <c r="A716" i="2"/>
  <c r="F716" i="2"/>
  <c r="H716" i="2" s="1"/>
  <c r="E740" i="2"/>
  <c r="B740" i="2"/>
  <c r="A740" i="2"/>
  <c r="F740" i="2"/>
  <c r="H740" i="2" s="1"/>
  <c r="E762" i="2"/>
  <c r="F762" i="2"/>
  <c r="H762" i="2" s="1"/>
  <c r="A762" i="2"/>
  <c r="B762" i="2"/>
  <c r="E852" i="2"/>
  <c r="B852" i="2"/>
  <c r="F852" i="2"/>
  <c r="H852" i="2" s="1"/>
  <c r="A852" i="2"/>
  <c r="E900" i="2"/>
  <c r="B900" i="2"/>
  <c r="F900" i="2"/>
  <c r="H900" i="2" s="1"/>
  <c r="A900" i="2"/>
  <c r="E948" i="2"/>
  <c r="B948" i="2"/>
  <c r="F948" i="2"/>
  <c r="H948" i="2" s="1"/>
  <c r="A948" i="2"/>
  <c r="E996" i="2"/>
  <c r="B996" i="2"/>
  <c r="F996" i="2"/>
  <c r="H996" i="2" s="1"/>
  <c r="A996" i="2"/>
  <c r="F749" i="2"/>
  <c r="H749" i="2" s="1"/>
  <c r="E749" i="2"/>
  <c r="A749" i="2"/>
  <c r="B749" i="2"/>
  <c r="B1289" i="2"/>
  <c r="A1289" i="2"/>
  <c r="F1289" i="2"/>
  <c r="H1289" i="2" s="1"/>
  <c r="E1289" i="2"/>
  <c r="B1069" i="2"/>
  <c r="F1069" i="2"/>
  <c r="H1069" i="2" s="1"/>
  <c r="E1069" i="2"/>
  <c r="A1069" i="2"/>
  <c r="E842" i="2"/>
  <c r="B842" i="2"/>
  <c r="F842" i="2"/>
  <c r="H842" i="2" s="1"/>
  <c r="A842" i="2"/>
  <c r="E890" i="2"/>
  <c r="B890" i="2"/>
  <c r="F890" i="2"/>
  <c r="H890" i="2" s="1"/>
  <c r="A890" i="2"/>
  <c r="E938" i="2"/>
  <c r="B938" i="2"/>
  <c r="F938" i="2"/>
  <c r="H938" i="2" s="1"/>
  <c r="A938" i="2"/>
  <c r="E986" i="2"/>
  <c r="B986" i="2"/>
  <c r="F986" i="2"/>
  <c r="H986" i="2" s="1"/>
  <c r="A986" i="2"/>
  <c r="E1034" i="2"/>
  <c r="B1034" i="2"/>
  <c r="F1034" i="2"/>
  <c r="H1034" i="2" s="1"/>
  <c r="A1034" i="2"/>
  <c r="B1299" i="2"/>
  <c r="A1299" i="2"/>
  <c r="E1299" i="2"/>
  <c r="F1299" i="2"/>
  <c r="H1299" i="2" s="1"/>
  <c r="A1193" i="2"/>
  <c r="E1193" i="2"/>
  <c r="B1193" i="2"/>
  <c r="F1193" i="2"/>
  <c r="H1193" i="2" s="1"/>
  <c r="A1663" i="2"/>
  <c r="E1663" i="2"/>
  <c r="B1663" i="2"/>
  <c r="F1663" i="2"/>
  <c r="H1663" i="2" s="1"/>
  <c r="E1330" i="2"/>
  <c r="B1330" i="2"/>
  <c r="A1330" i="2"/>
  <c r="F1330" i="2"/>
  <c r="H1330" i="2" s="1"/>
  <c r="E1418" i="2"/>
  <c r="F1418" i="2"/>
  <c r="H1418" i="2" s="1"/>
  <c r="A1418" i="2"/>
  <c r="B1418" i="2"/>
  <c r="F1215" i="2"/>
  <c r="H1215" i="2" s="1"/>
  <c r="E1215" i="2"/>
  <c r="B1215" i="2"/>
  <c r="A1215" i="2"/>
  <c r="F1109" i="2"/>
  <c r="H1109" i="2" s="1"/>
  <c r="E1109" i="2"/>
  <c r="B1109" i="2"/>
  <c r="A1109" i="2"/>
  <c r="F1046" i="2"/>
  <c r="H1046" i="2" s="1"/>
  <c r="E1046" i="2"/>
  <c r="B1046" i="2"/>
  <c r="A1046" i="2"/>
  <c r="F1070" i="2"/>
  <c r="H1070" i="2" s="1"/>
  <c r="E1070" i="2"/>
  <c r="B1070" i="2"/>
  <c r="A1070" i="2"/>
  <c r="E1434" i="2"/>
  <c r="B1434" i="2"/>
  <c r="A1434" i="2"/>
  <c r="F1434" i="2"/>
  <c r="H1434" i="2" s="1"/>
  <c r="F1213" i="2"/>
  <c r="H1213" i="2" s="1"/>
  <c r="E1213" i="2"/>
  <c r="B1213" i="2"/>
  <c r="A1213" i="2"/>
  <c r="E1398" i="2"/>
  <c r="F1398" i="2"/>
  <c r="H1398" i="2" s="1"/>
  <c r="B1398" i="2"/>
  <c r="A1398" i="2"/>
  <c r="E1332" i="2"/>
  <c r="B1332" i="2"/>
  <c r="A1332" i="2"/>
  <c r="F1332" i="2"/>
  <c r="H1332" i="2" s="1"/>
  <c r="A1475" i="2"/>
  <c r="E1475" i="2"/>
  <c r="B1475" i="2"/>
  <c r="F1475" i="2"/>
  <c r="H1475" i="2" s="1"/>
  <c r="F1323" i="2"/>
  <c r="H1323" i="2" s="1"/>
  <c r="E1323" i="2"/>
  <c r="B1323" i="2"/>
  <c r="A1323" i="2"/>
  <c r="A1387" i="2"/>
  <c r="E1387" i="2"/>
  <c r="B1387" i="2"/>
  <c r="F1387" i="2"/>
  <c r="H1387" i="2" s="1"/>
  <c r="E1406" i="2"/>
  <c r="F1406" i="2"/>
  <c r="H1406" i="2" s="1"/>
  <c r="B1406" i="2"/>
  <c r="A1406" i="2"/>
  <c r="E1573" i="2"/>
  <c r="B1573" i="2"/>
  <c r="F1573" i="2"/>
  <c r="H1573" i="2" s="1"/>
  <c r="A1573" i="2"/>
  <c r="F1357" i="2"/>
  <c r="H1357" i="2" s="1"/>
  <c r="E1357" i="2"/>
  <c r="A1357" i="2"/>
  <c r="B1357" i="2"/>
  <c r="A1545" i="2"/>
  <c r="E1545" i="2"/>
  <c r="B1545" i="2"/>
  <c r="F1545" i="2"/>
  <c r="H1545" i="2" s="1"/>
  <c r="E1090" i="2"/>
  <c r="B1090" i="2"/>
  <c r="A1090" i="2"/>
  <c r="F1090" i="2"/>
  <c r="H1090" i="2" s="1"/>
  <c r="E1114" i="2"/>
  <c r="B1114" i="2"/>
  <c r="A1114" i="2"/>
  <c r="F1114" i="2"/>
  <c r="H1114" i="2" s="1"/>
  <c r="E1138" i="2"/>
  <c r="B1138" i="2"/>
  <c r="A1138" i="2"/>
  <c r="F1138" i="2"/>
  <c r="H1138" i="2" s="1"/>
  <c r="F1162" i="2"/>
  <c r="H1162" i="2" s="1"/>
  <c r="E1162" i="2"/>
  <c r="A1162" i="2"/>
  <c r="B1162" i="2"/>
  <c r="F1186" i="2"/>
  <c r="H1186" i="2" s="1"/>
  <c r="B1186" i="2"/>
  <c r="E1186" i="2"/>
  <c r="A1186" i="2"/>
  <c r="F1210" i="2"/>
  <c r="H1210" i="2" s="1"/>
  <c r="B1210" i="2"/>
  <c r="E1210" i="2"/>
  <c r="A1210" i="2"/>
  <c r="F1234" i="2"/>
  <c r="H1234" i="2" s="1"/>
  <c r="B1234" i="2"/>
  <c r="E1234" i="2"/>
  <c r="A1234" i="2"/>
  <c r="F1258" i="2"/>
  <c r="H1258" i="2" s="1"/>
  <c r="B1258" i="2"/>
  <c r="E1258" i="2"/>
  <c r="A1258" i="2"/>
  <c r="F1282" i="2"/>
  <c r="H1282" i="2" s="1"/>
  <c r="B1282" i="2"/>
  <c r="E1282" i="2"/>
  <c r="A1282" i="2"/>
  <c r="E1380" i="2"/>
  <c r="B1380" i="2"/>
  <c r="F1380" i="2"/>
  <c r="H1380" i="2" s="1"/>
  <c r="A1380" i="2"/>
  <c r="F1307" i="2"/>
  <c r="H1307" i="2" s="1"/>
  <c r="E1307" i="2"/>
  <c r="B1307" i="2"/>
  <c r="A1307" i="2"/>
  <c r="A1407" i="2"/>
  <c r="B1407" i="2"/>
  <c r="F1407" i="2"/>
  <c r="H1407" i="2" s="1"/>
  <c r="E1407" i="2"/>
  <c r="A1391" i="2"/>
  <c r="F1391" i="2"/>
  <c r="H1391" i="2" s="1"/>
  <c r="E1391" i="2"/>
  <c r="B1391" i="2"/>
  <c r="E1310" i="2"/>
  <c r="B1310" i="2"/>
  <c r="F1310" i="2"/>
  <c r="H1310" i="2" s="1"/>
  <c r="A1310" i="2"/>
  <c r="E1378" i="2"/>
  <c r="B1378" i="2"/>
  <c r="F1378" i="2"/>
  <c r="H1378" i="2" s="1"/>
  <c r="A1378" i="2"/>
  <c r="B1626" i="2"/>
  <c r="A1626" i="2"/>
  <c r="F1626" i="2"/>
  <c r="H1626" i="2" s="1"/>
  <c r="E1626" i="2"/>
  <c r="E1835" i="2"/>
  <c r="F1835" i="2"/>
  <c r="H1835" i="2" s="1"/>
  <c r="B1835" i="2"/>
  <c r="A1835" i="2"/>
  <c r="E1510" i="2"/>
  <c r="F1510" i="2"/>
  <c r="H1510" i="2" s="1"/>
  <c r="B1510" i="2"/>
  <c r="A1510" i="2"/>
  <c r="F1546" i="2"/>
  <c r="H1546" i="2" s="1"/>
  <c r="E1546" i="2"/>
  <c r="B1546" i="2"/>
  <c r="A1546" i="2"/>
  <c r="E1608" i="2"/>
  <c r="B1608" i="2"/>
  <c r="A1608" i="2"/>
  <c r="F1608" i="2"/>
  <c r="H1608" i="2" s="1"/>
  <c r="A1707" i="2"/>
  <c r="F1707" i="2"/>
  <c r="H1707" i="2" s="1"/>
  <c r="E1707" i="2"/>
  <c r="B1707" i="2"/>
  <c r="E1584" i="2"/>
  <c r="B1584" i="2"/>
  <c r="F1584" i="2"/>
  <c r="H1584" i="2" s="1"/>
  <c r="A1584" i="2"/>
  <c r="E1476" i="2"/>
  <c r="F1476" i="2"/>
  <c r="H1476" i="2" s="1"/>
  <c r="A1476" i="2"/>
  <c r="B1476" i="2"/>
  <c r="A1724" i="2"/>
  <c r="F1724" i="2"/>
  <c r="H1724" i="2" s="1"/>
  <c r="E1724" i="2"/>
  <c r="B1724" i="2"/>
  <c r="F1538" i="2"/>
  <c r="H1538" i="2" s="1"/>
  <c r="E1538" i="2"/>
  <c r="B1538" i="2"/>
  <c r="A1538" i="2"/>
  <c r="F1646" i="2"/>
  <c r="H1646" i="2" s="1"/>
  <c r="E1646" i="2"/>
  <c r="B1646" i="2"/>
  <c r="A1646" i="2"/>
  <c r="F1575" i="2"/>
  <c r="H1575" i="2" s="1"/>
  <c r="E1575" i="2"/>
  <c r="A1575" i="2"/>
  <c r="B1575" i="2"/>
  <c r="A1714" i="2"/>
  <c r="E1714" i="2"/>
  <c r="F1714" i="2"/>
  <c r="H1714" i="2" s="1"/>
  <c r="B1714" i="2"/>
  <c r="A1726" i="2"/>
  <c r="E1726" i="2"/>
  <c r="F1726" i="2"/>
  <c r="H1726" i="2" s="1"/>
  <c r="B1726" i="2"/>
  <c r="E1740" i="2"/>
  <c r="B1740" i="2"/>
  <c r="A1740" i="2"/>
  <c r="F1740" i="2"/>
  <c r="H1740" i="2" s="1"/>
  <c r="A1705" i="2"/>
  <c r="B1705" i="2"/>
  <c r="F1705" i="2"/>
  <c r="H1705" i="2" s="1"/>
  <c r="E1705" i="2"/>
  <c r="E1585" i="2"/>
  <c r="B1585" i="2"/>
  <c r="A1585" i="2"/>
  <c r="F1585" i="2"/>
  <c r="H1585" i="2" s="1"/>
  <c r="F1734" i="2"/>
  <c r="H1734" i="2" s="1"/>
  <c r="B1734" i="2"/>
  <c r="A1734" i="2"/>
  <c r="E1734" i="2"/>
  <c r="F1631" i="2"/>
  <c r="H1631" i="2" s="1"/>
  <c r="E1631" i="2"/>
  <c r="B1631" i="2"/>
  <c r="A1631" i="2"/>
  <c r="A1773" i="2"/>
  <c r="F1773" i="2"/>
  <c r="H1773" i="2" s="1"/>
  <c r="E1773" i="2"/>
  <c r="B1773" i="2"/>
  <c r="F1696" i="2"/>
  <c r="H1696" i="2" s="1"/>
  <c r="E1696" i="2"/>
  <c r="B1696" i="2"/>
  <c r="A1696" i="2"/>
  <c r="F1614" i="2"/>
  <c r="H1614" i="2" s="1"/>
  <c r="E1614" i="2"/>
  <c r="B1614" i="2"/>
  <c r="A1614" i="2"/>
  <c r="A1761" i="2"/>
  <c r="F1761" i="2"/>
  <c r="H1761" i="2" s="1"/>
  <c r="E1761" i="2"/>
  <c r="B1761" i="2"/>
  <c r="F1636" i="2"/>
  <c r="H1636" i="2" s="1"/>
  <c r="E1636" i="2"/>
  <c r="B1636" i="2"/>
  <c r="A1636" i="2"/>
  <c r="A1771" i="2"/>
  <c r="F1771" i="2"/>
  <c r="H1771" i="2" s="1"/>
  <c r="E1771" i="2"/>
  <c r="B1771" i="2"/>
  <c r="F1776" i="2"/>
  <c r="H1776" i="2" s="1"/>
  <c r="E1776" i="2"/>
  <c r="B1776" i="2"/>
  <c r="A1776" i="2"/>
  <c r="F1800" i="2"/>
  <c r="H1800" i="2" s="1"/>
  <c r="E1800" i="2"/>
  <c r="B1800" i="2"/>
  <c r="A1800" i="2"/>
  <c r="E1829" i="2"/>
  <c r="F1829" i="2"/>
  <c r="H1829" i="2" s="1"/>
  <c r="B1829" i="2"/>
  <c r="A1829" i="2"/>
  <c r="B2265" i="2"/>
  <c r="A2265" i="2"/>
  <c r="E2265" i="2"/>
  <c r="F2265" i="2"/>
  <c r="H2265" i="2" s="1"/>
  <c r="B2061" i="2"/>
  <c r="F2061" i="2"/>
  <c r="H2061" i="2" s="1"/>
  <c r="A2061" i="2"/>
  <c r="E2061" i="2"/>
  <c r="B2026" i="2"/>
  <c r="E2026" i="2"/>
  <c r="F2026" i="2"/>
  <c r="H2026" i="2" s="1"/>
  <c r="A2026" i="2"/>
  <c r="F1876" i="2"/>
  <c r="H1876" i="2" s="1"/>
  <c r="B1876" i="2"/>
  <c r="A1876" i="2"/>
  <c r="E1876" i="2"/>
  <c r="B2024" i="2"/>
  <c r="A2024" i="2"/>
  <c r="F2024" i="2"/>
  <c r="H2024" i="2" s="1"/>
  <c r="E2024" i="2"/>
  <c r="B2091" i="2"/>
  <c r="A2091" i="2"/>
  <c r="F2091" i="2"/>
  <c r="H2091" i="2" s="1"/>
  <c r="E2091" i="2"/>
  <c r="B2042" i="2"/>
  <c r="F2042" i="2"/>
  <c r="H2042" i="2" s="1"/>
  <c r="E2042" i="2"/>
  <c r="A2042" i="2"/>
  <c r="B2096" i="2"/>
  <c r="F2096" i="2"/>
  <c r="H2096" i="2" s="1"/>
  <c r="E2096" i="2"/>
  <c r="A2096" i="2"/>
  <c r="B2102" i="2"/>
  <c r="F2102" i="2"/>
  <c r="H2102" i="2" s="1"/>
  <c r="E2102" i="2"/>
  <c r="A2102" i="2"/>
  <c r="B2251" i="2"/>
  <c r="E2251" i="2"/>
  <c r="A2251" i="2"/>
  <c r="F2251" i="2"/>
  <c r="H2251" i="2" s="1"/>
  <c r="A2160" i="2"/>
  <c r="B2160" i="2"/>
  <c r="F2160" i="2"/>
  <c r="H2160" i="2" s="1"/>
  <c r="E2160" i="2"/>
  <c r="F1892" i="2"/>
  <c r="H1892" i="2" s="1"/>
  <c r="E1892" i="2"/>
  <c r="B1892" i="2"/>
  <c r="A1892" i="2"/>
  <c r="F1916" i="2"/>
  <c r="H1916" i="2" s="1"/>
  <c r="E1916" i="2"/>
  <c r="B1916" i="2"/>
  <c r="A1916" i="2"/>
  <c r="F1940" i="2"/>
  <c r="H1940" i="2" s="1"/>
  <c r="A1940" i="2"/>
  <c r="E1940" i="2"/>
  <c r="B1940" i="2"/>
  <c r="F1964" i="2"/>
  <c r="H1964" i="2" s="1"/>
  <c r="E1964" i="2"/>
  <c r="B1964" i="2"/>
  <c r="A1964" i="2"/>
  <c r="B1988" i="2"/>
  <c r="E1988" i="2"/>
  <c r="A1988" i="2"/>
  <c r="F1988" i="2"/>
  <c r="H1988" i="2" s="1"/>
  <c r="B2046" i="2"/>
  <c r="F2046" i="2"/>
  <c r="H2046" i="2" s="1"/>
  <c r="E2046" i="2"/>
  <c r="A2046" i="2"/>
  <c r="A2234" i="2"/>
  <c r="F2234" i="2"/>
  <c r="H2234" i="2" s="1"/>
  <c r="E2234" i="2"/>
  <c r="B2234" i="2"/>
  <c r="F2577" i="2"/>
  <c r="H2577" i="2" s="1"/>
  <c r="E2577" i="2"/>
  <c r="B2577" i="2"/>
  <c r="A2577" i="2"/>
  <c r="E2328" i="2"/>
  <c r="A2328" i="2"/>
  <c r="B2328" i="2"/>
  <c r="F2328" i="2"/>
  <c r="H2328" i="2" s="1"/>
  <c r="B2100" i="2"/>
  <c r="A2100" i="2"/>
  <c r="F2100" i="2"/>
  <c r="H2100" i="2" s="1"/>
  <c r="E2100" i="2"/>
  <c r="B2071" i="2"/>
  <c r="F2071" i="2"/>
  <c r="H2071" i="2" s="1"/>
  <c r="A2071" i="2"/>
  <c r="E2071" i="2"/>
  <c r="B2476" i="2"/>
  <c r="E2476" i="2"/>
  <c r="A2476" i="2"/>
  <c r="F2476" i="2"/>
  <c r="H2476" i="2" s="1"/>
  <c r="F1897" i="2"/>
  <c r="H1897" i="2" s="1"/>
  <c r="A1897" i="2"/>
  <c r="B1897" i="2"/>
  <c r="E1897" i="2"/>
  <c r="F1921" i="2"/>
  <c r="H1921" i="2" s="1"/>
  <c r="E1921" i="2"/>
  <c r="A1921" i="2"/>
  <c r="B1921" i="2"/>
  <c r="F1945" i="2"/>
  <c r="H1945" i="2" s="1"/>
  <c r="E1945" i="2"/>
  <c r="B1945" i="2"/>
  <c r="A1945" i="2"/>
  <c r="F1969" i="2"/>
  <c r="H1969" i="2" s="1"/>
  <c r="E1969" i="2"/>
  <c r="B1969" i="2"/>
  <c r="A1969" i="2"/>
  <c r="F1993" i="2"/>
  <c r="H1993" i="2" s="1"/>
  <c r="A1993" i="2"/>
  <c r="E1993" i="2"/>
  <c r="B1993" i="2"/>
  <c r="B2076" i="2"/>
  <c r="F2076" i="2"/>
  <c r="H2076" i="2" s="1"/>
  <c r="E2076" i="2"/>
  <c r="A2076" i="2"/>
  <c r="F2301" i="2"/>
  <c r="H2301" i="2" s="1"/>
  <c r="E2301" i="2"/>
  <c r="B2301" i="2"/>
  <c r="A2301" i="2"/>
  <c r="B2690" i="2"/>
  <c r="A2690" i="2"/>
  <c r="F2690" i="2"/>
  <c r="H2690" i="2" s="1"/>
  <c r="E2690" i="2"/>
  <c r="B2126" i="2"/>
  <c r="F2126" i="2"/>
  <c r="H2126" i="2" s="1"/>
  <c r="E2126" i="2"/>
  <c r="A2126" i="2"/>
  <c r="A2194" i="2"/>
  <c r="F2194" i="2"/>
  <c r="H2194" i="2" s="1"/>
  <c r="B2194" i="2"/>
  <c r="E2194" i="2"/>
  <c r="F2506" i="2"/>
  <c r="H2506" i="2" s="1"/>
  <c r="A2506" i="2"/>
  <c r="E2506" i="2"/>
  <c r="B2506" i="2"/>
  <c r="B2569" i="2"/>
  <c r="A2569" i="2"/>
  <c r="E2569" i="2"/>
  <c r="F2569" i="2"/>
  <c r="H2569" i="2" s="1"/>
  <c r="F2709" i="2"/>
  <c r="H2709" i="2" s="1"/>
  <c r="E2709" i="2"/>
  <c r="A2709" i="2"/>
  <c r="B2709" i="2"/>
  <c r="A2689" i="2"/>
  <c r="E2689" i="2"/>
  <c r="B2689" i="2"/>
  <c r="F2689" i="2"/>
  <c r="H2689" i="2" s="1"/>
  <c r="F2279" i="2"/>
  <c r="H2279" i="2" s="1"/>
  <c r="E2279" i="2"/>
  <c r="B2279" i="2"/>
  <c r="A2279" i="2"/>
  <c r="F2510" i="2"/>
  <c r="H2510" i="2" s="1"/>
  <c r="A2510" i="2"/>
  <c r="B2510" i="2"/>
  <c r="E2510" i="2"/>
  <c r="E2277" i="2"/>
  <c r="A2277" i="2"/>
  <c r="F2277" i="2"/>
  <c r="H2277" i="2" s="1"/>
  <c r="B2277" i="2"/>
  <c r="F2645" i="2"/>
  <c r="H2645" i="2" s="1"/>
  <c r="B2645" i="2"/>
  <c r="A2645" i="2"/>
  <c r="E2645" i="2"/>
  <c r="E2610" i="2"/>
  <c r="A2610" i="2"/>
  <c r="B2610" i="2"/>
  <c r="F2610" i="2"/>
  <c r="H2610" i="2" s="1"/>
  <c r="B2177" i="2"/>
  <c r="F2177" i="2"/>
  <c r="H2177" i="2" s="1"/>
  <c r="E2177" i="2"/>
  <c r="A2177" i="2"/>
  <c r="B2201" i="2"/>
  <c r="A2201" i="2"/>
  <c r="E2201" i="2"/>
  <c r="F2201" i="2"/>
  <c r="H2201" i="2" s="1"/>
  <c r="B2225" i="2"/>
  <c r="F2225" i="2"/>
  <c r="H2225" i="2" s="1"/>
  <c r="E2225" i="2"/>
  <c r="A2225" i="2"/>
  <c r="E2330" i="2"/>
  <c r="A2330" i="2"/>
  <c r="F2330" i="2"/>
  <c r="H2330" i="2" s="1"/>
  <c r="B2330" i="2"/>
  <c r="F2606" i="2"/>
  <c r="H2606" i="2" s="1"/>
  <c r="B2606" i="2"/>
  <c r="A2606" i="2"/>
  <c r="E2606" i="2"/>
  <c r="E2424" i="2"/>
  <c r="A2424" i="2"/>
  <c r="F2424" i="2"/>
  <c r="H2424" i="2" s="1"/>
  <c r="B2424" i="2"/>
  <c r="F2243" i="2"/>
  <c r="H2243" i="2" s="1"/>
  <c r="E2243" i="2"/>
  <c r="B2243" i="2"/>
  <c r="A2243" i="2"/>
  <c r="E2525" i="2"/>
  <c r="A2525" i="2"/>
  <c r="F2525" i="2"/>
  <c r="H2525" i="2" s="1"/>
  <c r="B2525" i="2"/>
  <c r="B2428" i="2"/>
  <c r="F2428" i="2"/>
  <c r="H2428" i="2" s="1"/>
  <c r="E2428" i="2"/>
  <c r="A2428" i="2"/>
  <c r="A2482" i="2"/>
  <c r="E2482" i="2"/>
  <c r="B2482" i="2"/>
  <c r="F2482" i="2"/>
  <c r="H2482" i="2" s="1"/>
  <c r="F2354" i="2"/>
  <c r="H2354" i="2" s="1"/>
  <c r="E2354" i="2"/>
  <c r="A2354" i="2"/>
  <c r="B2354" i="2"/>
  <c r="E2513" i="2"/>
  <c r="B2513" i="2"/>
  <c r="A2513" i="2"/>
  <c r="F2513" i="2"/>
  <c r="H2513" i="2" s="1"/>
  <c r="F2718" i="2"/>
  <c r="H2718" i="2" s="1"/>
  <c r="B2718" i="2"/>
  <c r="E2718" i="2"/>
  <c r="A2718" i="2"/>
  <c r="E2692" i="2"/>
  <c r="A2692" i="2"/>
  <c r="F2692" i="2"/>
  <c r="H2692" i="2" s="1"/>
  <c r="B2692" i="2"/>
  <c r="B2464" i="2"/>
  <c r="F2464" i="2"/>
  <c r="H2464" i="2" s="1"/>
  <c r="E2464" i="2"/>
  <c r="A2464" i="2"/>
  <c r="F2344" i="2"/>
  <c r="H2344" i="2" s="1"/>
  <c r="B2344" i="2"/>
  <c r="A2344" i="2"/>
  <c r="E2344" i="2"/>
  <c r="F2684" i="2"/>
  <c r="H2684" i="2" s="1"/>
  <c r="A2684" i="2"/>
  <c r="E2684" i="2"/>
  <c r="B2684" i="2"/>
  <c r="F2691" i="2"/>
  <c r="H2691" i="2" s="1"/>
  <c r="B2691" i="2"/>
  <c r="A2691" i="2"/>
  <c r="E2691" i="2"/>
  <c r="F2630" i="2"/>
  <c r="H2630" i="2" s="1"/>
  <c r="E2630" i="2"/>
  <c r="B2630" i="2"/>
  <c r="A2630" i="2"/>
  <c r="A2345" i="2"/>
  <c r="F2345" i="2"/>
  <c r="H2345" i="2" s="1"/>
  <c r="E2345" i="2"/>
  <c r="B2345" i="2"/>
  <c r="E2369" i="2"/>
  <c r="F2369" i="2"/>
  <c r="H2369" i="2" s="1"/>
  <c r="A2369" i="2"/>
  <c r="B2369" i="2"/>
  <c r="E2393" i="2"/>
  <c r="F2393" i="2"/>
  <c r="H2393" i="2" s="1"/>
  <c r="B2393" i="2"/>
  <c r="A2393" i="2"/>
  <c r="E2417" i="2"/>
  <c r="F2417" i="2"/>
  <c r="H2417" i="2" s="1"/>
  <c r="B2417" i="2"/>
  <c r="A2417" i="2"/>
  <c r="E2441" i="2"/>
  <c r="F2441" i="2"/>
  <c r="H2441" i="2" s="1"/>
  <c r="B2441" i="2"/>
  <c r="A2441" i="2"/>
  <c r="E2465" i="2"/>
  <c r="A2465" i="2"/>
  <c r="F2465" i="2"/>
  <c r="H2465" i="2" s="1"/>
  <c r="B2465" i="2"/>
  <c r="E2489" i="2"/>
  <c r="F2489" i="2"/>
  <c r="H2489" i="2" s="1"/>
  <c r="B2489" i="2"/>
  <c r="A2489" i="2"/>
  <c r="E2573" i="2"/>
  <c r="F2573" i="2"/>
  <c r="H2573" i="2" s="1"/>
  <c r="A2573" i="2"/>
  <c r="B2573" i="2"/>
  <c r="F2567" i="2"/>
  <c r="H2567" i="2" s="1"/>
  <c r="B2567" i="2"/>
  <c r="A2567" i="2"/>
  <c r="E2567" i="2"/>
  <c r="F2711" i="2"/>
  <c r="H2711" i="2" s="1"/>
  <c r="E2711" i="2"/>
  <c r="B2711" i="2"/>
  <c r="A2711" i="2"/>
  <c r="E2683" i="2"/>
  <c r="B2683" i="2"/>
  <c r="F2683" i="2"/>
  <c r="H2683" i="2" s="1"/>
  <c r="A2683" i="2"/>
  <c r="F122" i="2"/>
  <c r="H122" i="2" s="1"/>
  <c r="E122" i="2"/>
  <c r="B122" i="2"/>
  <c r="A122" i="2"/>
  <c r="B72" i="2"/>
  <c r="A72" i="2"/>
  <c r="F72" i="2"/>
  <c r="H72" i="2" s="1"/>
  <c r="E72" i="2"/>
  <c r="B58" i="2"/>
  <c r="A58" i="2"/>
  <c r="F58" i="2"/>
  <c r="H58" i="2" s="1"/>
  <c r="E58" i="2"/>
  <c r="B298" i="2"/>
  <c r="A298" i="2"/>
  <c r="F298" i="2"/>
  <c r="H298" i="2" s="1"/>
  <c r="E298" i="2"/>
  <c r="B262" i="2"/>
  <c r="A262" i="2"/>
  <c r="F262" i="2"/>
  <c r="H262" i="2" s="1"/>
  <c r="E262" i="2"/>
  <c r="A260" i="2"/>
  <c r="E260" i="2"/>
  <c r="B260" i="2"/>
  <c r="F260" i="2"/>
  <c r="H260" i="2" s="1"/>
  <c r="B190" i="2"/>
  <c r="A190" i="2"/>
  <c r="F190" i="2"/>
  <c r="H190" i="2" s="1"/>
  <c r="E190" i="2"/>
  <c r="B73" i="2"/>
  <c r="A73" i="2"/>
  <c r="F73" i="2"/>
  <c r="H73" i="2" s="1"/>
  <c r="E73" i="2"/>
  <c r="F175" i="2"/>
  <c r="H175" i="2" s="1"/>
  <c r="B175" i="2"/>
  <c r="A175" i="2"/>
  <c r="E175" i="2"/>
  <c r="F148" i="2"/>
  <c r="H148" i="2" s="1"/>
  <c r="E148" i="2"/>
  <c r="B148" i="2"/>
  <c r="A148" i="2"/>
  <c r="F337" i="2"/>
  <c r="H337" i="2" s="1"/>
  <c r="E337" i="2"/>
  <c r="A337" i="2"/>
  <c r="B337" i="2"/>
  <c r="F35" i="2"/>
  <c r="H35" i="2" s="1"/>
  <c r="E35" i="2"/>
  <c r="B35" i="2"/>
  <c r="A35" i="2"/>
  <c r="F83" i="2"/>
  <c r="H83" i="2" s="1"/>
  <c r="E83" i="2"/>
  <c r="B83" i="2"/>
  <c r="A83" i="2"/>
  <c r="B466" i="2"/>
  <c r="A466" i="2"/>
  <c r="F466" i="2"/>
  <c r="H466" i="2" s="1"/>
  <c r="E466" i="2"/>
  <c r="F265" i="2"/>
  <c r="H265" i="2" s="1"/>
  <c r="E265" i="2"/>
  <c r="B265" i="2"/>
  <c r="A265" i="2"/>
  <c r="F333" i="2"/>
  <c r="H333" i="2" s="1"/>
  <c r="E333" i="2"/>
  <c r="A333" i="2"/>
  <c r="B333" i="2"/>
  <c r="F381" i="2"/>
  <c r="H381" i="2" s="1"/>
  <c r="E381" i="2"/>
  <c r="A381" i="2"/>
  <c r="B381" i="2"/>
  <c r="F108" i="2"/>
  <c r="H108" i="2" s="1"/>
  <c r="E108" i="2"/>
  <c r="B108" i="2"/>
  <c r="A108" i="2"/>
  <c r="F252" i="2"/>
  <c r="H252" i="2" s="1"/>
  <c r="E252" i="2"/>
  <c r="B252" i="2"/>
  <c r="A252" i="2"/>
  <c r="E896" i="2"/>
  <c r="B896" i="2"/>
  <c r="F896" i="2"/>
  <c r="H896" i="2" s="1"/>
  <c r="A896" i="2"/>
  <c r="F213" i="2"/>
  <c r="H213" i="2" s="1"/>
  <c r="E213" i="2"/>
  <c r="B213" i="2"/>
  <c r="A213" i="2"/>
  <c r="B442" i="2"/>
  <c r="A442" i="2"/>
  <c r="F442" i="2"/>
  <c r="H442" i="2" s="1"/>
  <c r="E442" i="2"/>
  <c r="F152" i="2"/>
  <c r="H152" i="2" s="1"/>
  <c r="E152" i="2"/>
  <c r="B152" i="2"/>
  <c r="A152" i="2"/>
  <c r="F307" i="2"/>
  <c r="H307" i="2" s="1"/>
  <c r="E307" i="2"/>
  <c r="A307" i="2"/>
  <c r="B307" i="2"/>
  <c r="F355" i="2"/>
  <c r="H355" i="2" s="1"/>
  <c r="E355" i="2"/>
  <c r="A355" i="2"/>
  <c r="B355" i="2"/>
  <c r="F403" i="2"/>
  <c r="H403" i="2" s="1"/>
  <c r="E403" i="2"/>
  <c r="A403" i="2"/>
  <c r="B403" i="2"/>
  <c r="F161" i="2"/>
  <c r="H161" i="2" s="1"/>
  <c r="E161" i="2"/>
  <c r="B161" i="2"/>
  <c r="A161" i="2"/>
  <c r="F295" i="2"/>
  <c r="H295" i="2" s="1"/>
  <c r="A295" i="2"/>
  <c r="E295" i="2"/>
  <c r="B295" i="2"/>
  <c r="F196" i="2"/>
  <c r="H196" i="2" s="1"/>
  <c r="E196" i="2"/>
  <c r="B196" i="2"/>
  <c r="A196" i="2"/>
  <c r="B623" i="2"/>
  <c r="A623" i="2"/>
  <c r="F623" i="2"/>
  <c r="H623" i="2" s="1"/>
  <c r="E623" i="2"/>
  <c r="E496" i="2"/>
  <c r="B496" i="2"/>
  <c r="A496" i="2"/>
  <c r="F496" i="2"/>
  <c r="H496" i="2" s="1"/>
  <c r="E617" i="2"/>
  <c r="B617" i="2"/>
  <c r="A617" i="2"/>
  <c r="F617" i="2"/>
  <c r="H617" i="2" s="1"/>
  <c r="E713" i="2"/>
  <c r="B713" i="2"/>
  <c r="A713" i="2"/>
  <c r="F713" i="2"/>
  <c r="H713" i="2" s="1"/>
  <c r="A512" i="2"/>
  <c r="F512" i="2"/>
  <c r="H512" i="2" s="1"/>
  <c r="E512" i="2"/>
  <c r="B512" i="2"/>
  <c r="F462" i="2"/>
  <c r="H462" i="2" s="1"/>
  <c r="E462" i="2"/>
  <c r="B462" i="2"/>
  <c r="A462" i="2"/>
  <c r="B825" i="2"/>
  <c r="A825" i="2"/>
  <c r="F825" i="2"/>
  <c r="H825" i="2" s="1"/>
  <c r="E825" i="2"/>
  <c r="E1016" i="2"/>
  <c r="B1016" i="2"/>
  <c r="F1016" i="2"/>
  <c r="H1016" i="2" s="1"/>
  <c r="A1016" i="2"/>
  <c r="F532" i="2"/>
  <c r="H532" i="2" s="1"/>
  <c r="E532" i="2"/>
  <c r="B532" i="2"/>
  <c r="A532" i="2"/>
  <c r="F637" i="2"/>
  <c r="H637" i="2" s="1"/>
  <c r="E637" i="2"/>
  <c r="A637" i="2"/>
  <c r="B637" i="2"/>
  <c r="F1079" i="2"/>
  <c r="H1079" i="2" s="1"/>
  <c r="E1079" i="2"/>
  <c r="B1079" i="2"/>
  <c r="A1079" i="2"/>
  <c r="E796" i="2"/>
  <c r="F796" i="2"/>
  <c r="H796" i="2" s="1"/>
  <c r="B796" i="2"/>
  <c r="A796" i="2"/>
  <c r="F491" i="2"/>
  <c r="H491" i="2" s="1"/>
  <c r="E491" i="2"/>
  <c r="B491" i="2"/>
  <c r="A491" i="2"/>
  <c r="E848" i="2"/>
  <c r="B848" i="2"/>
  <c r="F848" i="2"/>
  <c r="H848" i="2" s="1"/>
  <c r="A848" i="2"/>
  <c r="B1059" i="2"/>
  <c r="A1059" i="2"/>
  <c r="F1059" i="2"/>
  <c r="H1059" i="2" s="1"/>
  <c r="E1059" i="2"/>
  <c r="F579" i="2"/>
  <c r="H579" i="2" s="1"/>
  <c r="E579" i="2"/>
  <c r="B579" i="2"/>
  <c r="A579" i="2"/>
  <c r="F675" i="2"/>
  <c r="H675" i="2" s="1"/>
  <c r="E675" i="2"/>
  <c r="B675" i="2"/>
  <c r="A675" i="2"/>
  <c r="E754" i="2"/>
  <c r="F754" i="2"/>
  <c r="H754" i="2" s="1"/>
  <c r="A754" i="2"/>
  <c r="B754" i="2"/>
  <c r="F524" i="2"/>
  <c r="H524" i="2" s="1"/>
  <c r="E524" i="2"/>
  <c r="B524" i="2"/>
  <c r="A524" i="2"/>
  <c r="F827" i="2"/>
  <c r="H827" i="2" s="1"/>
  <c r="E827" i="2"/>
  <c r="B827" i="2"/>
  <c r="A827" i="2"/>
  <c r="E1047" i="2"/>
  <c r="B1047" i="2"/>
  <c r="A1047" i="2"/>
  <c r="F1047" i="2"/>
  <c r="H1047" i="2" s="1"/>
  <c r="E854" i="2"/>
  <c r="B854" i="2"/>
  <c r="F854" i="2"/>
  <c r="H854" i="2" s="1"/>
  <c r="A854" i="2"/>
  <c r="E902" i="2"/>
  <c r="B902" i="2"/>
  <c r="F902" i="2"/>
  <c r="H902" i="2" s="1"/>
  <c r="A902" i="2"/>
  <c r="E950" i="2"/>
  <c r="B950" i="2"/>
  <c r="F950" i="2"/>
  <c r="H950" i="2" s="1"/>
  <c r="A950" i="2"/>
  <c r="E998" i="2"/>
  <c r="B998" i="2"/>
  <c r="F998" i="2"/>
  <c r="H998" i="2" s="1"/>
  <c r="A998" i="2"/>
  <c r="E2242" i="2"/>
  <c r="F2242" i="2"/>
  <c r="H2242" i="2" s="1"/>
  <c r="A2242" i="2"/>
  <c r="B2242" i="2"/>
  <c r="B1119" i="2"/>
  <c r="F1119" i="2"/>
  <c r="H1119" i="2" s="1"/>
  <c r="A1119" i="2"/>
  <c r="E1119" i="2"/>
  <c r="A550" i="2"/>
  <c r="F550" i="2"/>
  <c r="H550" i="2" s="1"/>
  <c r="E550" i="2"/>
  <c r="B550" i="2"/>
  <c r="E574" i="2"/>
  <c r="F574" i="2"/>
  <c r="H574" i="2" s="1"/>
  <c r="B574" i="2"/>
  <c r="A574" i="2"/>
  <c r="E598" i="2"/>
  <c r="F598" i="2"/>
  <c r="H598" i="2" s="1"/>
  <c r="B598" i="2"/>
  <c r="A598" i="2"/>
  <c r="E622" i="2"/>
  <c r="F622" i="2"/>
  <c r="H622" i="2" s="1"/>
  <c r="B622" i="2"/>
  <c r="A622" i="2"/>
  <c r="E646" i="2"/>
  <c r="F646" i="2"/>
  <c r="H646" i="2" s="1"/>
  <c r="B646" i="2"/>
  <c r="A646" i="2"/>
  <c r="E670" i="2"/>
  <c r="F670" i="2"/>
  <c r="H670" i="2" s="1"/>
  <c r="B670" i="2"/>
  <c r="A670" i="2"/>
  <c r="E694" i="2"/>
  <c r="F694" i="2"/>
  <c r="H694" i="2" s="1"/>
  <c r="B694" i="2"/>
  <c r="A694" i="2"/>
  <c r="E718" i="2"/>
  <c r="F718" i="2"/>
  <c r="H718" i="2" s="1"/>
  <c r="B718" i="2"/>
  <c r="A718" i="2"/>
  <c r="E753" i="2"/>
  <c r="F753" i="2"/>
  <c r="H753" i="2" s="1"/>
  <c r="B753" i="2"/>
  <c r="A753" i="2"/>
  <c r="F775" i="2"/>
  <c r="H775" i="2" s="1"/>
  <c r="B775" i="2"/>
  <c r="E775" i="2"/>
  <c r="A775" i="2"/>
  <c r="F857" i="2"/>
  <c r="H857" i="2" s="1"/>
  <c r="E857" i="2"/>
  <c r="B857" i="2"/>
  <c r="A857" i="2"/>
  <c r="F905" i="2"/>
  <c r="H905" i="2" s="1"/>
  <c r="E905" i="2"/>
  <c r="B905" i="2"/>
  <c r="A905" i="2"/>
  <c r="F953" i="2"/>
  <c r="H953" i="2" s="1"/>
  <c r="E953" i="2"/>
  <c r="B953" i="2"/>
  <c r="A953" i="2"/>
  <c r="F1001" i="2"/>
  <c r="H1001" i="2" s="1"/>
  <c r="E1001" i="2"/>
  <c r="B1001" i="2"/>
  <c r="A1001" i="2"/>
  <c r="E760" i="2"/>
  <c r="F760" i="2"/>
  <c r="H760" i="2" s="1"/>
  <c r="B760" i="2"/>
  <c r="A760" i="2"/>
  <c r="A1648" i="2"/>
  <c r="E1648" i="2"/>
  <c r="B1648" i="2"/>
  <c r="F1648" i="2"/>
  <c r="H1648" i="2" s="1"/>
  <c r="B1095" i="2"/>
  <c r="F1095" i="2"/>
  <c r="H1095" i="2" s="1"/>
  <c r="E1095" i="2"/>
  <c r="A1095" i="2"/>
  <c r="F847" i="2"/>
  <c r="H847" i="2" s="1"/>
  <c r="E847" i="2"/>
  <c r="B847" i="2"/>
  <c r="A847" i="2"/>
  <c r="F895" i="2"/>
  <c r="H895" i="2" s="1"/>
  <c r="E895" i="2"/>
  <c r="B895" i="2"/>
  <c r="A895" i="2"/>
  <c r="F943" i="2"/>
  <c r="H943" i="2" s="1"/>
  <c r="E943" i="2"/>
  <c r="B943" i="2"/>
  <c r="A943" i="2"/>
  <c r="F991" i="2"/>
  <c r="H991" i="2" s="1"/>
  <c r="E991" i="2"/>
  <c r="B991" i="2"/>
  <c r="A991" i="2"/>
  <c r="F1039" i="2"/>
  <c r="H1039" i="2" s="1"/>
  <c r="E1039" i="2"/>
  <c r="B1039" i="2"/>
  <c r="A1039" i="2"/>
  <c r="E1366" i="2"/>
  <c r="B1366" i="2"/>
  <c r="A1366" i="2"/>
  <c r="F1366" i="2"/>
  <c r="H1366" i="2" s="1"/>
  <c r="A1201" i="2"/>
  <c r="F1201" i="2"/>
  <c r="H1201" i="2" s="1"/>
  <c r="E1201" i="2"/>
  <c r="B1201" i="2"/>
  <c r="F1091" i="2"/>
  <c r="H1091" i="2" s="1"/>
  <c r="B1091" i="2"/>
  <c r="A1091" i="2"/>
  <c r="E1091" i="2"/>
  <c r="A1337" i="2"/>
  <c r="E1337" i="2"/>
  <c r="F1337" i="2"/>
  <c r="H1337" i="2" s="1"/>
  <c r="B1337" i="2"/>
  <c r="A1431" i="2"/>
  <c r="B1431" i="2"/>
  <c r="E1431" i="2"/>
  <c r="F1431" i="2"/>
  <c r="H1431" i="2" s="1"/>
  <c r="F1223" i="2"/>
  <c r="H1223" i="2" s="1"/>
  <c r="E1223" i="2"/>
  <c r="B1223" i="2"/>
  <c r="A1223" i="2"/>
  <c r="F1133" i="2"/>
  <c r="H1133" i="2" s="1"/>
  <c r="E1133" i="2"/>
  <c r="B1133" i="2"/>
  <c r="A1133" i="2"/>
  <c r="F1048" i="2"/>
  <c r="H1048" i="2" s="1"/>
  <c r="E1048" i="2"/>
  <c r="B1048" i="2"/>
  <c r="A1048" i="2"/>
  <c r="F1083" i="2"/>
  <c r="H1083" i="2" s="1"/>
  <c r="E1083" i="2"/>
  <c r="B1083" i="2"/>
  <c r="A1083" i="2"/>
  <c r="A1521" i="2"/>
  <c r="E1521" i="2"/>
  <c r="B1521" i="2"/>
  <c r="F1521" i="2"/>
  <c r="H1521" i="2" s="1"/>
  <c r="F1221" i="2"/>
  <c r="H1221" i="2" s="1"/>
  <c r="E1221" i="2"/>
  <c r="B1221" i="2"/>
  <c r="A1221" i="2"/>
  <c r="E1430" i="2"/>
  <c r="F1430" i="2"/>
  <c r="H1430" i="2" s="1"/>
  <c r="B1430" i="2"/>
  <c r="A1430" i="2"/>
  <c r="E1339" i="2"/>
  <c r="B1339" i="2"/>
  <c r="A1339" i="2"/>
  <c r="F1339" i="2"/>
  <c r="H1339" i="2" s="1"/>
  <c r="A1479" i="2"/>
  <c r="F1479" i="2"/>
  <c r="H1479" i="2" s="1"/>
  <c r="E1479" i="2"/>
  <c r="B1479" i="2"/>
  <c r="E1328" i="2"/>
  <c r="B1328" i="2"/>
  <c r="F1328" i="2"/>
  <c r="H1328" i="2" s="1"/>
  <c r="A1328" i="2"/>
  <c r="E1390" i="2"/>
  <c r="B1390" i="2"/>
  <c r="F1390" i="2"/>
  <c r="H1390" i="2" s="1"/>
  <c r="A1390" i="2"/>
  <c r="A1419" i="2"/>
  <c r="B1419" i="2"/>
  <c r="F1419" i="2"/>
  <c r="H1419" i="2" s="1"/>
  <c r="E1419" i="2"/>
  <c r="B1582" i="2"/>
  <c r="A1582" i="2"/>
  <c r="F1582" i="2"/>
  <c r="H1582" i="2" s="1"/>
  <c r="E1582" i="2"/>
  <c r="E1362" i="2"/>
  <c r="B1362" i="2"/>
  <c r="F1362" i="2"/>
  <c r="H1362" i="2" s="1"/>
  <c r="A1362" i="2"/>
  <c r="A1652" i="2"/>
  <c r="E1652" i="2"/>
  <c r="B1652" i="2"/>
  <c r="F1652" i="2"/>
  <c r="H1652" i="2" s="1"/>
  <c r="F1092" i="2"/>
  <c r="H1092" i="2" s="1"/>
  <c r="E1092" i="2"/>
  <c r="B1092" i="2"/>
  <c r="A1092" i="2"/>
  <c r="F1116" i="2"/>
  <c r="H1116" i="2" s="1"/>
  <c r="E1116" i="2"/>
  <c r="B1116" i="2"/>
  <c r="A1116" i="2"/>
  <c r="F1140" i="2"/>
  <c r="H1140" i="2" s="1"/>
  <c r="E1140" i="2"/>
  <c r="B1140" i="2"/>
  <c r="A1140" i="2"/>
  <c r="F1164" i="2"/>
  <c r="H1164" i="2" s="1"/>
  <c r="A1164" i="2"/>
  <c r="E1164" i="2"/>
  <c r="B1164" i="2"/>
  <c r="F1188" i="2"/>
  <c r="H1188" i="2" s="1"/>
  <c r="B1188" i="2"/>
  <c r="E1188" i="2"/>
  <c r="A1188" i="2"/>
  <c r="F1212" i="2"/>
  <c r="H1212" i="2" s="1"/>
  <c r="B1212" i="2"/>
  <c r="E1212" i="2"/>
  <c r="A1212" i="2"/>
  <c r="F1236" i="2"/>
  <c r="H1236" i="2" s="1"/>
  <c r="B1236" i="2"/>
  <c r="E1236" i="2"/>
  <c r="A1236" i="2"/>
  <c r="F1260" i="2"/>
  <c r="H1260" i="2" s="1"/>
  <c r="B1260" i="2"/>
  <c r="E1260" i="2"/>
  <c r="A1260" i="2"/>
  <c r="F1284" i="2"/>
  <c r="H1284" i="2" s="1"/>
  <c r="B1284" i="2"/>
  <c r="E1284" i="2"/>
  <c r="A1284" i="2"/>
  <c r="F1385" i="2"/>
  <c r="H1385" i="2" s="1"/>
  <c r="E1385" i="2"/>
  <c r="B1385" i="2"/>
  <c r="A1385" i="2"/>
  <c r="E1312" i="2"/>
  <c r="B1312" i="2"/>
  <c r="F1312" i="2"/>
  <c r="H1312" i="2" s="1"/>
  <c r="A1312" i="2"/>
  <c r="E1410" i="2"/>
  <c r="F1410" i="2"/>
  <c r="H1410" i="2" s="1"/>
  <c r="B1410" i="2"/>
  <c r="A1410" i="2"/>
  <c r="A1433" i="2"/>
  <c r="F1433" i="2"/>
  <c r="H1433" i="2" s="1"/>
  <c r="E1433" i="2"/>
  <c r="B1433" i="2"/>
  <c r="F1317" i="2"/>
  <c r="H1317" i="2" s="1"/>
  <c r="E1317" i="2"/>
  <c r="B1317" i="2"/>
  <c r="A1317" i="2"/>
  <c r="F1383" i="2"/>
  <c r="H1383" i="2" s="1"/>
  <c r="E1383" i="2"/>
  <c r="B1383" i="2"/>
  <c r="A1383" i="2"/>
  <c r="A1641" i="2"/>
  <c r="B1641" i="2"/>
  <c r="F1641" i="2"/>
  <c r="H1641" i="2" s="1"/>
  <c r="E1641" i="2"/>
  <c r="A1401" i="2"/>
  <c r="F1401" i="2"/>
  <c r="H1401" i="2" s="1"/>
  <c r="E1401" i="2"/>
  <c r="B1401" i="2"/>
  <c r="A1513" i="2"/>
  <c r="B1513" i="2"/>
  <c r="F1513" i="2"/>
  <c r="H1513" i="2" s="1"/>
  <c r="E1513" i="2"/>
  <c r="A1549" i="2"/>
  <c r="B1549" i="2"/>
  <c r="F1549" i="2"/>
  <c r="H1549" i="2" s="1"/>
  <c r="E1549" i="2"/>
  <c r="A1611" i="2"/>
  <c r="F1611" i="2"/>
  <c r="H1611" i="2" s="1"/>
  <c r="E1611" i="2"/>
  <c r="B1611" i="2"/>
  <c r="A1769" i="2"/>
  <c r="B1769" i="2"/>
  <c r="F1769" i="2"/>
  <c r="H1769" i="2" s="1"/>
  <c r="E1769" i="2"/>
  <c r="F1688" i="2"/>
  <c r="H1688" i="2" s="1"/>
  <c r="E1688" i="2"/>
  <c r="B1688" i="2"/>
  <c r="A1688" i="2"/>
  <c r="E1484" i="2"/>
  <c r="F1484" i="2"/>
  <c r="H1484" i="2" s="1"/>
  <c r="A1484" i="2"/>
  <c r="B1484" i="2"/>
  <c r="A1755" i="2"/>
  <c r="B1755" i="2"/>
  <c r="F1755" i="2"/>
  <c r="H1755" i="2" s="1"/>
  <c r="E1755" i="2"/>
  <c r="A1541" i="2"/>
  <c r="F1541" i="2"/>
  <c r="H1541" i="2" s="1"/>
  <c r="E1541" i="2"/>
  <c r="B1541" i="2"/>
  <c r="F1650" i="2"/>
  <c r="H1650" i="2" s="1"/>
  <c r="E1650" i="2"/>
  <c r="B1650" i="2"/>
  <c r="A1650" i="2"/>
  <c r="F1578" i="2"/>
  <c r="H1578" i="2" s="1"/>
  <c r="E1578" i="2"/>
  <c r="B1578" i="2"/>
  <c r="A1578" i="2"/>
  <c r="A1731" i="2"/>
  <c r="B1731" i="2"/>
  <c r="F1731" i="2"/>
  <c r="H1731" i="2" s="1"/>
  <c r="E1731" i="2"/>
  <c r="A1743" i="2"/>
  <c r="B1743" i="2"/>
  <c r="F1743" i="2"/>
  <c r="H1743" i="2" s="1"/>
  <c r="E1743" i="2"/>
  <c r="E1752" i="2"/>
  <c r="B1752" i="2"/>
  <c r="A1752" i="2"/>
  <c r="F1752" i="2"/>
  <c r="H1752" i="2" s="1"/>
  <c r="A1717" i="2"/>
  <c r="F1717" i="2"/>
  <c r="H1717" i="2" s="1"/>
  <c r="E1717" i="2"/>
  <c r="B1717" i="2"/>
  <c r="A1596" i="2"/>
  <c r="F1596" i="2"/>
  <c r="H1596" i="2" s="1"/>
  <c r="E1596" i="2"/>
  <c r="B1596" i="2"/>
  <c r="F1746" i="2"/>
  <c r="H1746" i="2" s="1"/>
  <c r="E1746" i="2"/>
  <c r="B1746" i="2"/>
  <c r="A1746" i="2"/>
  <c r="F1642" i="2"/>
  <c r="H1642" i="2" s="1"/>
  <c r="E1642" i="2"/>
  <c r="B1642" i="2"/>
  <c r="A1642" i="2"/>
  <c r="F1815" i="2"/>
  <c r="H1815" i="2" s="1"/>
  <c r="E1815" i="2"/>
  <c r="B1815" i="2"/>
  <c r="A1815" i="2"/>
  <c r="F1708" i="2"/>
  <c r="H1708" i="2" s="1"/>
  <c r="E1708" i="2"/>
  <c r="B1708" i="2"/>
  <c r="A1708" i="2"/>
  <c r="F1627" i="2"/>
  <c r="H1627" i="2" s="1"/>
  <c r="E1627" i="2"/>
  <c r="B1627" i="2"/>
  <c r="A1627" i="2"/>
  <c r="A1779" i="2"/>
  <c r="F1779" i="2"/>
  <c r="H1779" i="2" s="1"/>
  <c r="E1779" i="2"/>
  <c r="B1779" i="2"/>
  <c r="F1649" i="2"/>
  <c r="H1649" i="2" s="1"/>
  <c r="E1649" i="2"/>
  <c r="B1649" i="2"/>
  <c r="A1649" i="2"/>
  <c r="F1797" i="2"/>
  <c r="H1797" i="2" s="1"/>
  <c r="E1797" i="2"/>
  <c r="B1797" i="2"/>
  <c r="A1797" i="2"/>
  <c r="F1778" i="2"/>
  <c r="H1778" i="2" s="1"/>
  <c r="E1778" i="2"/>
  <c r="B1778" i="2"/>
  <c r="A1778" i="2"/>
  <c r="B1802" i="2"/>
  <c r="A1802" i="2"/>
  <c r="F1802" i="2"/>
  <c r="H1802" i="2" s="1"/>
  <c r="E1802" i="2"/>
  <c r="E1841" i="2"/>
  <c r="F1841" i="2"/>
  <c r="H1841" i="2" s="1"/>
  <c r="B1841" i="2"/>
  <c r="A1841" i="2"/>
  <c r="E1827" i="2"/>
  <c r="F1827" i="2"/>
  <c r="H1827" i="2" s="1"/>
  <c r="B1827" i="2"/>
  <c r="A1827" i="2"/>
  <c r="E1825" i="2"/>
  <c r="F1825" i="2"/>
  <c r="H1825" i="2" s="1"/>
  <c r="B1825" i="2"/>
  <c r="A1825" i="2"/>
  <c r="B2049" i="2"/>
  <c r="A2049" i="2"/>
  <c r="F2049" i="2"/>
  <c r="H2049" i="2" s="1"/>
  <c r="E2049" i="2"/>
  <c r="B2012" i="2"/>
  <c r="E2012" i="2"/>
  <c r="A2012" i="2"/>
  <c r="F2012" i="2"/>
  <c r="H2012" i="2" s="1"/>
  <c r="B2027" i="2"/>
  <c r="F2027" i="2"/>
  <c r="H2027" i="2" s="1"/>
  <c r="E2027" i="2"/>
  <c r="A2027" i="2"/>
  <c r="B2140" i="2"/>
  <c r="A2140" i="2"/>
  <c r="F2140" i="2"/>
  <c r="H2140" i="2" s="1"/>
  <c r="E2140" i="2"/>
  <c r="B2045" i="2"/>
  <c r="F2045" i="2"/>
  <c r="H2045" i="2" s="1"/>
  <c r="E2045" i="2"/>
  <c r="A2045" i="2"/>
  <c r="B2101" i="2"/>
  <c r="A2101" i="2"/>
  <c r="F2101" i="2"/>
  <c r="H2101" i="2" s="1"/>
  <c r="E2101" i="2"/>
  <c r="B2009" i="2"/>
  <c r="F2009" i="2"/>
  <c r="H2009" i="2" s="1"/>
  <c r="E2009" i="2"/>
  <c r="A2009" i="2"/>
  <c r="E2298" i="2"/>
  <c r="A2298" i="2"/>
  <c r="F2298" i="2"/>
  <c r="H2298" i="2" s="1"/>
  <c r="B2298" i="2"/>
  <c r="A2247" i="2"/>
  <c r="B2247" i="2"/>
  <c r="F2247" i="2"/>
  <c r="H2247" i="2" s="1"/>
  <c r="E2247" i="2"/>
  <c r="A1894" i="2"/>
  <c r="B1894" i="2"/>
  <c r="F1894" i="2"/>
  <c r="H1894" i="2" s="1"/>
  <c r="E1894" i="2"/>
  <c r="A1918" i="2"/>
  <c r="F1918" i="2"/>
  <c r="H1918" i="2" s="1"/>
  <c r="E1918" i="2"/>
  <c r="B1918" i="2"/>
  <c r="A1942" i="2"/>
  <c r="F1942" i="2"/>
  <c r="H1942" i="2" s="1"/>
  <c r="E1942" i="2"/>
  <c r="B1942" i="2"/>
  <c r="A1966" i="2"/>
  <c r="F1966" i="2"/>
  <c r="H1966" i="2" s="1"/>
  <c r="E1966" i="2"/>
  <c r="B1966" i="2"/>
  <c r="B1990" i="2"/>
  <c r="A1990" i="2"/>
  <c r="F1990" i="2"/>
  <c r="H1990" i="2" s="1"/>
  <c r="E1990" i="2"/>
  <c r="B2058" i="2"/>
  <c r="F2058" i="2"/>
  <c r="H2058" i="2" s="1"/>
  <c r="E2058" i="2"/>
  <c r="A2058" i="2"/>
  <c r="E2259" i="2"/>
  <c r="A2259" i="2"/>
  <c r="F2259" i="2"/>
  <c r="H2259" i="2" s="1"/>
  <c r="B2259" i="2"/>
  <c r="B2068" i="2"/>
  <c r="E2068" i="2"/>
  <c r="F2068" i="2"/>
  <c r="H2068" i="2" s="1"/>
  <c r="A2068" i="2"/>
  <c r="B2105" i="2"/>
  <c r="F2105" i="2"/>
  <c r="H2105" i="2" s="1"/>
  <c r="E2105" i="2"/>
  <c r="A2105" i="2"/>
  <c r="B2113" i="2"/>
  <c r="F2113" i="2"/>
  <c r="H2113" i="2" s="1"/>
  <c r="E2113" i="2"/>
  <c r="A2113" i="2"/>
  <c r="B2083" i="2"/>
  <c r="F2083" i="2"/>
  <c r="H2083" i="2" s="1"/>
  <c r="A2083" i="2"/>
  <c r="E2083" i="2"/>
  <c r="B2511" i="2"/>
  <c r="A2511" i="2"/>
  <c r="E2511" i="2"/>
  <c r="F2511" i="2"/>
  <c r="H2511" i="2" s="1"/>
  <c r="E1899" i="2"/>
  <c r="B1899" i="2"/>
  <c r="A1899" i="2"/>
  <c r="F1899" i="2"/>
  <c r="H1899" i="2" s="1"/>
  <c r="E1923" i="2"/>
  <c r="B1923" i="2"/>
  <c r="A1923" i="2"/>
  <c r="F1923" i="2"/>
  <c r="H1923" i="2" s="1"/>
  <c r="F1947" i="2"/>
  <c r="H1947" i="2" s="1"/>
  <c r="E1947" i="2"/>
  <c r="B1947" i="2"/>
  <c r="A1947" i="2"/>
  <c r="E1971" i="2"/>
  <c r="B1971" i="2"/>
  <c r="A1971" i="2"/>
  <c r="F1971" i="2"/>
  <c r="H1971" i="2" s="1"/>
  <c r="A1995" i="2"/>
  <c r="E1995" i="2"/>
  <c r="F1995" i="2"/>
  <c r="H1995" i="2" s="1"/>
  <c r="B1995" i="2"/>
  <c r="B2088" i="2"/>
  <c r="F2088" i="2"/>
  <c r="H2088" i="2" s="1"/>
  <c r="E2088" i="2"/>
  <c r="A2088" i="2"/>
  <c r="F2319" i="2"/>
  <c r="H2319" i="2" s="1"/>
  <c r="E2319" i="2"/>
  <c r="B2319" i="2"/>
  <c r="A2319" i="2"/>
  <c r="B2097" i="2"/>
  <c r="F2097" i="2"/>
  <c r="H2097" i="2" s="1"/>
  <c r="A2097" i="2"/>
  <c r="E2097" i="2"/>
  <c r="B2138" i="2"/>
  <c r="F2138" i="2"/>
  <c r="H2138" i="2" s="1"/>
  <c r="E2138" i="2"/>
  <c r="A2138" i="2"/>
  <c r="A2202" i="2"/>
  <c r="B2202" i="2"/>
  <c r="F2202" i="2"/>
  <c r="H2202" i="2" s="1"/>
  <c r="E2202" i="2"/>
  <c r="E2515" i="2"/>
  <c r="A2515" i="2"/>
  <c r="F2515" i="2"/>
  <c r="H2515" i="2" s="1"/>
  <c r="B2515" i="2"/>
  <c r="A2311" i="2"/>
  <c r="F2311" i="2"/>
  <c r="H2311" i="2" s="1"/>
  <c r="B2311" i="2"/>
  <c r="E2311" i="2"/>
  <c r="E2253" i="2"/>
  <c r="B2253" i="2"/>
  <c r="A2253" i="2"/>
  <c r="F2253" i="2"/>
  <c r="H2253" i="2" s="1"/>
  <c r="F2147" i="2"/>
  <c r="H2147" i="2" s="1"/>
  <c r="B2147" i="2"/>
  <c r="E2147" i="2"/>
  <c r="A2147" i="2"/>
  <c r="A2295" i="2"/>
  <c r="F2295" i="2"/>
  <c r="H2295" i="2" s="1"/>
  <c r="E2295" i="2"/>
  <c r="B2295" i="2"/>
  <c r="F2546" i="2"/>
  <c r="H2546" i="2" s="1"/>
  <c r="E2546" i="2"/>
  <c r="B2546" i="2"/>
  <c r="A2546" i="2"/>
  <c r="E2280" i="2"/>
  <c r="F2280" i="2"/>
  <c r="H2280" i="2" s="1"/>
  <c r="B2280" i="2"/>
  <c r="A2280" i="2"/>
  <c r="A2695" i="2"/>
  <c r="F2695" i="2"/>
  <c r="H2695" i="2" s="1"/>
  <c r="E2695" i="2"/>
  <c r="B2695" i="2"/>
  <c r="A2627" i="2"/>
  <c r="F2627" i="2"/>
  <c r="H2627" i="2" s="1"/>
  <c r="E2627" i="2"/>
  <c r="B2627" i="2"/>
  <c r="F2179" i="2"/>
  <c r="H2179" i="2" s="1"/>
  <c r="B2179" i="2"/>
  <c r="E2179" i="2"/>
  <c r="A2179" i="2"/>
  <c r="F2203" i="2"/>
  <c r="H2203" i="2" s="1"/>
  <c r="E2203" i="2"/>
  <c r="B2203" i="2"/>
  <c r="A2203" i="2"/>
  <c r="F2227" i="2"/>
  <c r="H2227" i="2" s="1"/>
  <c r="E2227" i="2"/>
  <c r="B2227" i="2"/>
  <c r="A2227" i="2"/>
  <c r="F2342" i="2"/>
  <c r="H2342" i="2" s="1"/>
  <c r="A2342" i="2"/>
  <c r="E2342" i="2"/>
  <c r="B2342" i="2"/>
  <c r="A2621" i="2"/>
  <c r="E2621" i="2"/>
  <c r="B2621" i="2"/>
  <c r="F2621" i="2"/>
  <c r="H2621" i="2" s="1"/>
  <c r="F2454" i="2"/>
  <c r="H2454" i="2" s="1"/>
  <c r="B2454" i="2"/>
  <c r="E2454" i="2"/>
  <c r="A2454" i="2"/>
  <c r="F2255" i="2"/>
  <c r="H2255" i="2" s="1"/>
  <c r="E2255" i="2"/>
  <c r="B2255" i="2"/>
  <c r="A2255" i="2"/>
  <c r="E2572" i="2"/>
  <c r="A2572" i="2"/>
  <c r="B2572" i="2"/>
  <c r="F2572" i="2"/>
  <c r="H2572" i="2" s="1"/>
  <c r="F2466" i="2"/>
  <c r="H2466" i="2" s="1"/>
  <c r="B2466" i="2"/>
  <c r="E2466" i="2"/>
  <c r="A2466" i="2"/>
  <c r="F2514" i="2"/>
  <c r="H2514" i="2" s="1"/>
  <c r="E2514" i="2"/>
  <c r="A2514" i="2"/>
  <c r="B2514" i="2"/>
  <c r="F2374" i="2"/>
  <c r="H2374" i="2" s="1"/>
  <c r="B2374" i="2"/>
  <c r="A2374" i="2"/>
  <c r="E2374" i="2"/>
  <c r="F2532" i="2"/>
  <c r="H2532" i="2" s="1"/>
  <c r="A2532" i="2"/>
  <c r="E2532" i="2"/>
  <c r="B2532" i="2"/>
  <c r="F2432" i="2"/>
  <c r="H2432" i="2" s="1"/>
  <c r="E2432" i="2"/>
  <c r="A2432" i="2"/>
  <c r="B2432" i="2"/>
  <c r="E2244" i="2"/>
  <c r="F2244" i="2"/>
  <c r="H2244" i="2" s="1"/>
  <c r="B2244" i="2"/>
  <c r="A2244" i="2"/>
  <c r="F2484" i="2"/>
  <c r="H2484" i="2" s="1"/>
  <c r="E2484" i="2"/>
  <c r="A2484" i="2"/>
  <c r="B2484" i="2"/>
  <c r="F2522" i="2"/>
  <c r="H2522" i="2" s="1"/>
  <c r="B2522" i="2"/>
  <c r="E2522" i="2"/>
  <c r="A2522" i="2"/>
  <c r="E2703" i="2"/>
  <c r="A2703" i="2"/>
  <c r="F2703" i="2"/>
  <c r="H2703" i="2" s="1"/>
  <c r="B2703" i="2"/>
  <c r="E2716" i="2"/>
  <c r="A2716" i="2"/>
  <c r="B2716" i="2"/>
  <c r="F2716" i="2"/>
  <c r="H2716" i="2" s="1"/>
  <c r="F2633" i="2"/>
  <c r="H2633" i="2" s="1"/>
  <c r="B2633" i="2"/>
  <c r="E2633" i="2"/>
  <c r="A2633" i="2"/>
  <c r="B2347" i="2"/>
  <c r="E2347" i="2"/>
  <c r="F2347" i="2"/>
  <c r="H2347" i="2" s="1"/>
  <c r="A2347" i="2"/>
  <c r="E2371" i="2"/>
  <c r="F2371" i="2"/>
  <c r="H2371" i="2" s="1"/>
  <c r="B2371" i="2"/>
  <c r="A2371" i="2"/>
  <c r="E2395" i="2"/>
  <c r="F2395" i="2"/>
  <c r="H2395" i="2" s="1"/>
  <c r="A2395" i="2"/>
  <c r="B2395" i="2"/>
  <c r="E2419" i="2"/>
  <c r="F2419" i="2"/>
  <c r="H2419" i="2" s="1"/>
  <c r="A2419" i="2"/>
  <c r="B2419" i="2"/>
  <c r="E2443" i="2"/>
  <c r="F2443" i="2"/>
  <c r="H2443" i="2" s="1"/>
  <c r="B2443" i="2"/>
  <c r="A2443" i="2"/>
  <c r="E2467" i="2"/>
  <c r="F2467" i="2"/>
  <c r="H2467" i="2" s="1"/>
  <c r="B2467" i="2"/>
  <c r="A2467" i="2"/>
  <c r="E2491" i="2"/>
  <c r="A2491" i="2"/>
  <c r="F2491" i="2"/>
  <c r="H2491" i="2" s="1"/>
  <c r="B2491" i="2"/>
  <c r="B2581" i="2"/>
  <c r="E2581" i="2"/>
  <c r="A2581" i="2"/>
  <c r="F2581" i="2"/>
  <c r="H2581" i="2" s="1"/>
  <c r="E2580" i="2"/>
  <c r="F2580" i="2"/>
  <c r="H2580" i="2" s="1"/>
  <c r="B2580" i="2"/>
  <c r="A2580" i="2"/>
  <c r="F2722" i="2"/>
  <c r="H2722" i="2" s="1"/>
  <c r="E2722" i="2"/>
  <c r="B2722" i="2"/>
  <c r="A2722" i="2"/>
  <c r="E2696" i="2"/>
  <c r="B2696" i="2"/>
  <c r="F2696" i="2"/>
  <c r="H2696" i="2" s="1"/>
  <c r="A2696" i="2"/>
  <c r="A116" i="2"/>
  <c r="F116" i="2"/>
  <c r="H116" i="2" s="1"/>
  <c r="E116" i="2"/>
  <c r="B116" i="2"/>
  <c r="B64" i="2"/>
  <c r="A64" i="2"/>
  <c r="F64" i="2"/>
  <c r="H64" i="2" s="1"/>
  <c r="E64" i="2"/>
  <c r="B42" i="2"/>
  <c r="A42" i="2"/>
  <c r="F42" i="2"/>
  <c r="H42" i="2" s="1"/>
  <c r="E42" i="2"/>
  <c r="F407" i="2"/>
  <c r="H407" i="2" s="1"/>
  <c r="E407" i="2"/>
  <c r="A407" i="2"/>
  <c r="B407" i="2"/>
  <c r="E748" i="2"/>
  <c r="A748" i="2"/>
  <c r="F748" i="2"/>
  <c r="H748" i="2" s="1"/>
  <c r="B748" i="2"/>
  <c r="F199" i="2"/>
  <c r="H199" i="2" s="1"/>
  <c r="B199" i="2"/>
  <c r="A199" i="2"/>
  <c r="E199" i="2"/>
  <c r="B25" i="2"/>
  <c r="A25" i="2"/>
  <c r="F25" i="2"/>
  <c r="H25" i="2" s="1"/>
  <c r="E25" i="2"/>
  <c r="F221" i="2"/>
  <c r="H221" i="2" s="1"/>
  <c r="A221" i="2"/>
  <c r="E221" i="2"/>
  <c r="B221" i="2"/>
  <c r="F27" i="2"/>
  <c r="H27" i="2" s="1"/>
  <c r="E27" i="2"/>
  <c r="B27" i="2"/>
  <c r="A27" i="2"/>
  <c r="E92" i="2"/>
  <c r="B92" i="2"/>
  <c r="A92" i="2"/>
  <c r="F92" i="2"/>
  <c r="H92" i="2" s="1"/>
  <c r="B50" i="2"/>
  <c r="A50" i="2"/>
  <c r="E50" i="2"/>
  <c r="F50" i="2"/>
  <c r="H50" i="2" s="1"/>
  <c r="F146" i="2"/>
  <c r="H146" i="2" s="1"/>
  <c r="E146" i="2"/>
  <c r="B146" i="2"/>
  <c r="A146" i="2"/>
  <c r="F288" i="2"/>
  <c r="H288" i="2" s="1"/>
  <c r="E288" i="2"/>
  <c r="B288" i="2"/>
  <c r="A288" i="2"/>
  <c r="F342" i="2"/>
  <c r="H342" i="2" s="1"/>
  <c r="E342" i="2"/>
  <c r="B342" i="2"/>
  <c r="A342" i="2"/>
  <c r="F390" i="2"/>
  <c r="H390" i="2" s="1"/>
  <c r="E390" i="2"/>
  <c r="B390" i="2"/>
  <c r="A390" i="2"/>
  <c r="F155" i="2"/>
  <c r="H155" i="2" s="1"/>
  <c r="B155" i="2"/>
  <c r="A155" i="2"/>
  <c r="E155" i="2"/>
  <c r="A37" i="2"/>
  <c r="B37" i="2"/>
  <c r="F37" i="2"/>
  <c r="H37" i="2" s="1"/>
  <c r="E37" i="2"/>
  <c r="B61" i="2"/>
  <c r="A61" i="2"/>
  <c r="F61" i="2"/>
  <c r="H61" i="2" s="1"/>
  <c r="E61" i="2"/>
  <c r="E85" i="2"/>
  <c r="F85" i="2"/>
  <c r="H85" i="2" s="1"/>
  <c r="B85" i="2"/>
  <c r="A85" i="2"/>
  <c r="A160" i="2"/>
  <c r="F160" i="2"/>
  <c r="H160" i="2" s="1"/>
  <c r="E160" i="2"/>
  <c r="B160" i="2"/>
  <c r="B501" i="2"/>
  <c r="A501" i="2"/>
  <c r="F501" i="2"/>
  <c r="H501" i="2" s="1"/>
  <c r="E501" i="2"/>
  <c r="F134" i="2"/>
  <c r="H134" i="2" s="1"/>
  <c r="E134" i="2"/>
  <c r="B134" i="2"/>
  <c r="A134" i="2"/>
  <c r="F278" i="2"/>
  <c r="H278" i="2" s="1"/>
  <c r="E278" i="2"/>
  <c r="B278" i="2"/>
  <c r="A278" i="2"/>
  <c r="F338" i="2"/>
  <c r="H338" i="2" s="1"/>
  <c r="E338" i="2"/>
  <c r="B338" i="2"/>
  <c r="A338" i="2"/>
  <c r="F263" i="2"/>
  <c r="H263" i="2" s="1"/>
  <c r="E263" i="2"/>
  <c r="B263" i="2"/>
  <c r="A263" i="2"/>
  <c r="B981" i="2"/>
  <c r="A981" i="2"/>
  <c r="F981" i="2"/>
  <c r="H981" i="2" s="1"/>
  <c r="E981" i="2"/>
  <c r="F226" i="2"/>
  <c r="H226" i="2" s="1"/>
  <c r="E226" i="2"/>
  <c r="B226" i="2"/>
  <c r="A226" i="2"/>
  <c r="B477" i="2"/>
  <c r="A477" i="2"/>
  <c r="F477" i="2"/>
  <c r="H477" i="2" s="1"/>
  <c r="E477" i="2"/>
  <c r="F163" i="2"/>
  <c r="H163" i="2" s="1"/>
  <c r="E163" i="2"/>
  <c r="B163" i="2"/>
  <c r="A163" i="2"/>
  <c r="F312" i="2"/>
  <c r="H312" i="2" s="1"/>
  <c r="E312" i="2"/>
  <c r="B312" i="2"/>
  <c r="A312" i="2"/>
  <c r="F360" i="2"/>
  <c r="H360" i="2" s="1"/>
  <c r="E360" i="2"/>
  <c r="B360" i="2"/>
  <c r="A360" i="2"/>
  <c r="F408" i="2"/>
  <c r="H408" i="2" s="1"/>
  <c r="E408" i="2"/>
  <c r="B408" i="2"/>
  <c r="A408" i="2"/>
  <c r="F174" i="2"/>
  <c r="H174" i="2" s="1"/>
  <c r="E174" i="2"/>
  <c r="B174" i="2"/>
  <c r="A174" i="2"/>
  <c r="F302" i="2"/>
  <c r="H302" i="2" s="1"/>
  <c r="E302" i="2"/>
  <c r="B302" i="2"/>
  <c r="A302" i="2"/>
  <c r="E94" i="2"/>
  <c r="B94" i="2"/>
  <c r="A94" i="2"/>
  <c r="F94" i="2"/>
  <c r="H94" i="2" s="1"/>
  <c r="F207" i="2"/>
  <c r="H207" i="2" s="1"/>
  <c r="E207" i="2"/>
  <c r="B207" i="2"/>
  <c r="A207" i="2"/>
  <c r="B655" i="2"/>
  <c r="A655" i="2"/>
  <c r="F655" i="2"/>
  <c r="H655" i="2" s="1"/>
  <c r="E655" i="2"/>
  <c r="F522" i="2"/>
  <c r="H522" i="2" s="1"/>
  <c r="E522" i="2"/>
  <c r="B522" i="2"/>
  <c r="A522" i="2"/>
  <c r="E968" i="2"/>
  <c r="B968" i="2"/>
  <c r="F968" i="2"/>
  <c r="H968" i="2" s="1"/>
  <c r="A968" i="2"/>
  <c r="E507" i="2"/>
  <c r="B507" i="2"/>
  <c r="A507" i="2"/>
  <c r="F507" i="2"/>
  <c r="H507" i="2" s="1"/>
  <c r="E625" i="2"/>
  <c r="B625" i="2"/>
  <c r="A625" i="2"/>
  <c r="F625" i="2"/>
  <c r="H625" i="2" s="1"/>
  <c r="E778" i="2"/>
  <c r="F778" i="2"/>
  <c r="H778" i="2" s="1"/>
  <c r="B778" i="2"/>
  <c r="A778" i="2"/>
  <c r="A523" i="2"/>
  <c r="F523" i="2"/>
  <c r="H523" i="2" s="1"/>
  <c r="E523" i="2"/>
  <c r="B523" i="2"/>
  <c r="F473" i="2"/>
  <c r="H473" i="2" s="1"/>
  <c r="B473" i="2"/>
  <c r="A473" i="2"/>
  <c r="E473" i="2"/>
  <c r="B845" i="2"/>
  <c r="A845" i="2"/>
  <c r="F845" i="2"/>
  <c r="H845" i="2" s="1"/>
  <c r="E845" i="2"/>
  <c r="B1037" i="2"/>
  <c r="A1037" i="2"/>
  <c r="F1037" i="2"/>
  <c r="H1037" i="2" s="1"/>
  <c r="E1037" i="2"/>
  <c r="F541" i="2"/>
  <c r="H541" i="2" s="1"/>
  <c r="E541" i="2"/>
  <c r="B541" i="2"/>
  <c r="A541" i="2"/>
  <c r="F645" i="2"/>
  <c r="H645" i="2" s="1"/>
  <c r="E645" i="2"/>
  <c r="B645" i="2"/>
  <c r="A645" i="2"/>
  <c r="B1295" i="2"/>
  <c r="A1295" i="2"/>
  <c r="F1295" i="2"/>
  <c r="H1295" i="2" s="1"/>
  <c r="E1295" i="2"/>
  <c r="A809" i="2"/>
  <c r="E809" i="2"/>
  <c r="F809" i="2"/>
  <c r="H809" i="2" s="1"/>
  <c r="B809" i="2"/>
  <c r="F504" i="2"/>
  <c r="H504" i="2" s="1"/>
  <c r="E504" i="2"/>
  <c r="B504" i="2"/>
  <c r="A504" i="2"/>
  <c r="B869" i="2"/>
  <c r="A869" i="2"/>
  <c r="F869" i="2"/>
  <c r="H869" i="2" s="1"/>
  <c r="E869" i="2"/>
  <c r="E1466" i="2"/>
  <c r="F1466" i="2"/>
  <c r="H1466" i="2" s="1"/>
  <c r="A1466" i="2"/>
  <c r="B1466" i="2"/>
  <c r="F587" i="2"/>
  <c r="H587" i="2" s="1"/>
  <c r="E587" i="2"/>
  <c r="B587" i="2"/>
  <c r="A587" i="2"/>
  <c r="F683" i="2"/>
  <c r="H683" i="2" s="1"/>
  <c r="E683" i="2"/>
  <c r="B683" i="2"/>
  <c r="A683" i="2"/>
  <c r="A761" i="2"/>
  <c r="F761" i="2"/>
  <c r="H761" i="2" s="1"/>
  <c r="E761" i="2"/>
  <c r="B761" i="2"/>
  <c r="F535" i="2"/>
  <c r="H535" i="2" s="1"/>
  <c r="E535" i="2"/>
  <c r="B535" i="2"/>
  <c r="A535" i="2"/>
  <c r="E832" i="2"/>
  <c r="B832" i="2"/>
  <c r="F832" i="2"/>
  <c r="H832" i="2" s="1"/>
  <c r="A832" i="2"/>
  <c r="A1097" i="2"/>
  <c r="E1097" i="2"/>
  <c r="B1097" i="2"/>
  <c r="F1097" i="2"/>
  <c r="H1097" i="2" s="1"/>
  <c r="A859" i="2"/>
  <c r="F859" i="2"/>
  <c r="H859" i="2" s="1"/>
  <c r="E859" i="2"/>
  <c r="B859" i="2"/>
  <c r="A907" i="2"/>
  <c r="F907" i="2"/>
  <c r="H907" i="2" s="1"/>
  <c r="E907" i="2"/>
  <c r="B907" i="2"/>
  <c r="A955" i="2"/>
  <c r="F955" i="2"/>
  <c r="H955" i="2" s="1"/>
  <c r="E955" i="2"/>
  <c r="B955" i="2"/>
  <c r="A1003" i="2"/>
  <c r="F1003" i="2"/>
  <c r="H1003" i="2" s="1"/>
  <c r="B1003" i="2"/>
  <c r="E1003" i="2"/>
  <c r="F779" i="2"/>
  <c r="H779" i="2" s="1"/>
  <c r="E779" i="2"/>
  <c r="A779" i="2"/>
  <c r="B779" i="2"/>
  <c r="B1147" i="2"/>
  <c r="A1147" i="2"/>
  <c r="F1147" i="2"/>
  <c r="H1147" i="2" s="1"/>
  <c r="E1147" i="2"/>
  <c r="A552" i="2"/>
  <c r="E552" i="2"/>
  <c r="B552" i="2"/>
  <c r="F552" i="2"/>
  <c r="H552" i="2" s="1"/>
  <c r="E576" i="2"/>
  <c r="F576" i="2"/>
  <c r="H576" i="2" s="1"/>
  <c r="B576" i="2"/>
  <c r="A576" i="2"/>
  <c r="E600" i="2"/>
  <c r="F600" i="2"/>
  <c r="H600" i="2" s="1"/>
  <c r="B600" i="2"/>
  <c r="A600" i="2"/>
  <c r="E624" i="2"/>
  <c r="F624" i="2"/>
  <c r="H624" i="2" s="1"/>
  <c r="B624" i="2"/>
  <c r="A624" i="2"/>
  <c r="E648" i="2"/>
  <c r="F648" i="2"/>
  <c r="H648" i="2" s="1"/>
  <c r="B648" i="2"/>
  <c r="A648" i="2"/>
  <c r="E672" i="2"/>
  <c r="F672" i="2"/>
  <c r="H672" i="2" s="1"/>
  <c r="B672" i="2"/>
  <c r="A672" i="2"/>
  <c r="E696" i="2"/>
  <c r="F696" i="2"/>
  <c r="H696" i="2" s="1"/>
  <c r="B696" i="2"/>
  <c r="A696" i="2"/>
  <c r="E720" i="2"/>
  <c r="F720" i="2"/>
  <c r="H720" i="2" s="1"/>
  <c r="B720" i="2"/>
  <c r="A720" i="2"/>
  <c r="E764" i="2"/>
  <c r="B764" i="2"/>
  <c r="F764" i="2"/>
  <c r="H764" i="2" s="1"/>
  <c r="A764" i="2"/>
  <c r="E786" i="2"/>
  <c r="F786" i="2"/>
  <c r="H786" i="2" s="1"/>
  <c r="B786" i="2"/>
  <c r="A786" i="2"/>
  <c r="E860" i="2"/>
  <c r="B860" i="2"/>
  <c r="F860" i="2"/>
  <c r="H860" i="2" s="1"/>
  <c r="A860" i="2"/>
  <c r="E908" i="2"/>
  <c r="B908" i="2"/>
  <c r="F908" i="2"/>
  <c r="H908" i="2" s="1"/>
  <c r="A908" i="2"/>
  <c r="E956" i="2"/>
  <c r="B956" i="2"/>
  <c r="F956" i="2"/>
  <c r="H956" i="2" s="1"/>
  <c r="A956" i="2"/>
  <c r="E1004" i="2"/>
  <c r="B1004" i="2"/>
  <c r="F1004" i="2"/>
  <c r="H1004" i="2" s="1"/>
  <c r="A1004" i="2"/>
  <c r="F773" i="2"/>
  <c r="H773" i="2" s="1"/>
  <c r="E773" i="2"/>
  <c r="A773" i="2"/>
  <c r="B773" i="2"/>
  <c r="E782" i="2"/>
  <c r="F782" i="2"/>
  <c r="H782" i="2" s="1"/>
  <c r="B782" i="2"/>
  <c r="A782" i="2"/>
  <c r="A1159" i="2"/>
  <c r="E1159" i="2"/>
  <c r="B1159" i="2"/>
  <c r="F1159" i="2"/>
  <c r="H1159" i="2" s="1"/>
  <c r="E850" i="2"/>
  <c r="B850" i="2"/>
  <c r="F850" i="2"/>
  <c r="H850" i="2" s="1"/>
  <c r="A850" i="2"/>
  <c r="E898" i="2"/>
  <c r="B898" i="2"/>
  <c r="F898" i="2"/>
  <c r="H898" i="2" s="1"/>
  <c r="A898" i="2"/>
  <c r="E946" i="2"/>
  <c r="B946" i="2"/>
  <c r="F946" i="2"/>
  <c r="H946" i="2" s="1"/>
  <c r="A946" i="2"/>
  <c r="E994" i="2"/>
  <c r="B994" i="2"/>
  <c r="F994" i="2"/>
  <c r="H994" i="2" s="1"/>
  <c r="A994" i="2"/>
  <c r="F1103" i="2"/>
  <c r="H1103" i="2" s="1"/>
  <c r="E1103" i="2"/>
  <c r="B1103" i="2"/>
  <c r="A1103" i="2"/>
  <c r="E1490" i="2"/>
  <c r="A1490" i="2"/>
  <c r="B1490" i="2"/>
  <c r="F1490" i="2"/>
  <c r="H1490" i="2" s="1"/>
  <c r="A1209" i="2"/>
  <c r="F1209" i="2"/>
  <c r="H1209" i="2" s="1"/>
  <c r="E1209" i="2"/>
  <c r="B1209" i="2"/>
  <c r="F1115" i="2"/>
  <c r="H1115" i="2" s="1"/>
  <c r="E1115" i="2"/>
  <c r="B1115" i="2"/>
  <c r="A1115" i="2"/>
  <c r="B1381" i="2"/>
  <c r="A1381" i="2"/>
  <c r="F1381" i="2"/>
  <c r="H1381" i="2" s="1"/>
  <c r="E1381" i="2"/>
  <c r="A1497" i="2"/>
  <c r="F1497" i="2"/>
  <c r="H1497" i="2" s="1"/>
  <c r="B1497" i="2"/>
  <c r="E1497" i="2"/>
  <c r="F1231" i="2"/>
  <c r="H1231" i="2" s="1"/>
  <c r="E1231" i="2"/>
  <c r="B1231" i="2"/>
  <c r="A1231" i="2"/>
  <c r="F1153" i="2"/>
  <c r="H1153" i="2" s="1"/>
  <c r="E1153" i="2"/>
  <c r="B1153" i="2"/>
  <c r="A1153" i="2"/>
  <c r="F1050" i="2"/>
  <c r="H1050" i="2" s="1"/>
  <c r="E1050" i="2"/>
  <c r="B1050" i="2"/>
  <c r="A1050" i="2"/>
  <c r="F1107" i="2"/>
  <c r="H1107" i="2" s="1"/>
  <c r="E1107" i="2"/>
  <c r="B1107" i="2"/>
  <c r="A1107" i="2"/>
  <c r="F1081" i="2"/>
  <c r="H1081" i="2" s="1"/>
  <c r="E1081" i="2"/>
  <c r="B1081" i="2"/>
  <c r="A1081" i="2"/>
  <c r="F1229" i="2"/>
  <c r="H1229" i="2" s="1"/>
  <c r="E1229" i="2"/>
  <c r="B1229" i="2"/>
  <c r="A1229" i="2"/>
  <c r="A1443" i="2"/>
  <c r="B1443" i="2"/>
  <c r="F1443" i="2"/>
  <c r="H1443" i="2" s="1"/>
  <c r="E1443" i="2"/>
  <c r="E1344" i="2"/>
  <c r="B1344" i="2"/>
  <c r="A1344" i="2"/>
  <c r="F1344" i="2"/>
  <c r="H1344" i="2" s="1"/>
  <c r="A1493" i="2"/>
  <c r="E1493" i="2"/>
  <c r="B1493" i="2"/>
  <c r="F1493" i="2"/>
  <c r="H1493" i="2" s="1"/>
  <c r="A1335" i="2"/>
  <c r="B1335" i="2"/>
  <c r="F1335" i="2"/>
  <c r="H1335" i="2" s="1"/>
  <c r="E1335" i="2"/>
  <c r="A1393" i="2"/>
  <c r="F1393" i="2"/>
  <c r="H1393" i="2" s="1"/>
  <c r="E1393" i="2"/>
  <c r="B1393" i="2"/>
  <c r="E1422" i="2"/>
  <c r="F1422" i="2"/>
  <c r="H1422" i="2" s="1"/>
  <c r="B1422" i="2"/>
  <c r="A1422" i="2"/>
  <c r="A1745" i="2"/>
  <c r="B1745" i="2"/>
  <c r="F1745" i="2"/>
  <c r="H1745" i="2" s="1"/>
  <c r="E1745" i="2"/>
  <c r="F1369" i="2"/>
  <c r="H1369" i="2" s="1"/>
  <c r="E1369" i="2"/>
  <c r="B1369" i="2"/>
  <c r="A1369" i="2"/>
  <c r="B1667" i="2"/>
  <c r="A1667" i="2"/>
  <c r="E1667" i="2"/>
  <c r="F1667" i="2"/>
  <c r="H1667" i="2" s="1"/>
  <c r="F1094" i="2"/>
  <c r="H1094" i="2" s="1"/>
  <c r="E1094" i="2"/>
  <c r="B1094" i="2"/>
  <c r="A1094" i="2"/>
  <c r="F1118" i="2"/>
  <c r="H1118" i="2" s="1"/>
  <c r="E1118" i="2"/>
  <c r="B1118" i="2"/>
  <c r="A1118" i="2"/>
  <c r="F1142" i="2"/>
  <c r="H1142" i="2" s="1"/>
  <c r="E1142" i="2"/>
  <c r="B1142" i="2"/>
  <c r="A1142" i="2"/>
  <c r="F1166" i="2"/>
  <c r="H1166" i="2" s="1"/>
  <c r="A1166" i="2"/>
  <c r="E1166" i="2"/>
  <c r="B1166" i="2"/>
  <c r="F1190" i="2"/>
  <c r="H1190" i="2" s="1"/>
  <c r="B1190" i="2"/>
  <c r="A1190" i="2"/>
  <c r="E1190" i="2"/>
  <c r="F1214" i="2"/>
  <c r="H1214" i="2" s="1"/>
  <c r="B1214" i="2"/>
  <c r="A1214" i="2"/>
  <c r="E1214" i="2"/>
  <c r="F1238" i="2"/>
  <c r="H1238" i="2" s="1"/>
  <c r="B1238" i="2"/>
  <c r="A1238" i="2"/>
  <c r="E1238" i="2"/>
  <c r="F1262" i="2"/>
  <c r="H1262" i="2" s="1"/>
  <c r="B1262" i="2"/>
  <c r="E1262" i="2"/>
  <c r="A1262" i="2"/>
  <c r="F1286" i="2"/>
  <c r="H1286" i="2" s="1"/>
  <c r="B1286" i="2"/>
  <c r="E1286" i="2"/>
  <c r="A1286" i="2"/>
  <c r="E1388" i="2"/>
  <c r="B1388" i="2"/>
  <c r="F1388" i="2"/>
  <c r="H1388" i="2" s="1"/>
  <c r="A1388" i="2"/>
  <c r="F1319" i="2"/>
  <c r="H1319" i="2" s="1"/>
  <c r="E1319" i="2"/>
  <c r="B1319" i="2"/>
  <c r="A1319" i="2"/>
  <c r="E1442" i="2"/>
  <c r="F1442" i="2"/>
  <c r="H1442" i="2" s="1"/>
  <c r="B1442" i="2"/>
  <c r="A1442" i="2"/>
  <c r="E1436" i="2"/>
  <c r="F1436" i="2"/>
  <c r="H1436" i="2" s="1"/>
  <c r="B1436" i="2"/>
  <c r="A1436" i="2"/>
  <c r="E1322" i="2"/>
  <c r="B1322" i="2"/>
  <c r="F1322" i="2"/>
  <c r="H1322" i="2" s="1"/>
  <c r="A1322" i="2"/>
  <c r="E1386" i="2"/>
  <c r="B1386" i="2"/>
  <c r="F1386" i="2"/>
  <c r="H1386" i="2" s="1"/>
  <c r="A1386" i="2"/>
  <c r="B1595" i="2"/>
  <c r="A1595" i="2"/>
  <c r="F1595" i="2"/>
  <c r="H1595" i="2" s="1"/>
  <c r="E1595" i="2"/>
  <c r="A1413" i="2"/>
  <c r="F1413" i="2"/>
  <c r="H1413" i="2" s="1"/>
  <c r="E1413" i="2"/>
  <c r="B1413" i="2"/>
  <c r="F1516" i="2"/>
  <c r="H1516" i="2" s="1"/>
  <c r="E1516" i="2"/>
  <c r="B1516" i="2"/>
  <c r="A1516" i="2"/>
  <c r="F1552" i="2"/>
  <c r="H1552" i="2" s="1"/>
  <c r="E1552" i="2"/>
  <c r="B1552" i="2"/>
  <c r="A1552" i="2"/>
  <c r="A1615" i="2"/>
  <c r="E1615" i="2"/>
  <c r="B1615" i="2"/>
  <c r="F1615" i="2"/>
  <c r="H1615" i="2" s="1"/>
  <c r="A1777" i="2"/>
  <c r="B1777" i="2"/>
  <c r="F1777" i="2"/>
  <c r="H1777" i="2" s="1"/>
  <c r="E1777" i="2"/>
  <c r="F1712" i="2"/>
  <c r="H1712" i="2" s="1"/>
  <c r="E1712" i="2"/>
  <c r="A1712" i="2"/>
  <c r="B1712" i="2"/>
  <c r="E1492" i="2"/>
  <c r="F1492" i="2"/>
  <c r="H1492" i="2" s="1"/>
  <c r="A1492" i="2"/>
  <c r="B1492" i="2"/>
  <c r="F1799" i="2"/>
  <c r="H1799" i="2" s="1"/>
  <c r="E1799" i="2"/>
  <c r="B1799" i="2"/>
  <c r="A1799" i="2"/>
  <c r="F1544" i="2"/>
  <c r="H1544" i="2" s="1"/>
  <c r="E1544" i="2"/>
  <c r="B1544" i="2"/>
  <c r="A1544" i="2"/>
  <c r="B1654" i="2"/>
  <c r="A1654" i="2"/>
  <c r="F1654" i="2"/>
  <c r="H1654" i="2" s="1"/>
  <c r="E1654" i="2"/>
  <c r="F1591" i="2"/>
  <c r="H1591" i="2" s="1"/>
  <c r="E1591" i="2"/>
  <c r="B1591" i="2"/>
  <c r="A1591" i="2"/>
  <c r="A1757" i="2"/>
  <c r="B1757" i="2"/>
  <c r="F1757" i="2"/>
  <c r="H1757" i="2" s="1"/>
  <c r="E1757" i="2"/>
  <c r="A1750" i="2"/>
  <c r="E1750" i="2"/>
  <c r="B1750" i="2"/>
  <c r="F1750" i="2"/>
  <c r="H1750" i="2" s="1"/>
  <c r="E1764" i="2"/>
  <c r="B1764" i="2"/>
  <c r="A1764" i="2"/>
  <c r="F1764" i="2"/>
  <c r="H1764" i="2" s="1"/>
  <c r="A1729" i="2"/>
  <c r="F1729" i="2"/>
  <c r="H1729" i="2" s="1"/>
  <c r="E1729" i="2"/>
  <c r="B1729" i="2"/>
  <c r="F1609" i="2"/>
  <c r="H1609" i="2" s="1"/>
  <c r="E1609" i="2"/>
  <c r="B1609" i="2"/>
  <c r="A1609" i="2"/>
  <c r="F1758" i="2"/>
  <c r="H1758" i="2" s="1"/>
  <c r="A1758" i="2"/>
  <c r="E1758" i="2"/>
  <c r="B1758" i="2"/>
  <c r="F1655" i="2"/>
  <c r="H1655" i="2" s="1"/>
  <c r="A1655" i="2"/>
  <c r="E1655" i="2"/>
  <c r="B1655" i="2"/>
  <c r="A1824" i="2"/>
  <c r="F1824" i="2"/>
  <c r="H1824" i="2" s="1"/>
  <c r="E1824" i="2"/>
  <c r="B1824" i="2"/>
  <c r="F1720" i="2"/>
  <c r="H1720" i="2" s="1"/>
  <c r="E1720" i="2"/>
  <c r="B1720" i="2"/>
  <c r="A1720" i="2"/>
  <c r="F1638" i="2"/>
  <c r="H1638" i="2" s="1"/>
  <c r="E1638" i="2"/>
  <c r="B1638" i="2"/>
  <c r="A1638" i="2"/>
  <c r="A1785" i="2"/>
  <c r="F1785" i="2"/>
  <c r="H1785" i="2" s="1"/>
  <c r="E1785" i="2"/>
  <c r="B1785" i="2"/>
  <c r="F1660" i="2"/>
  <c r="H1660" i="2" s="1"/>
  <c r="E1660" i="2"/>
  <c r="B1660" i="2"/>
  <c r="A1660" i="2"/>
  <c r="F1821" i="2"/>
  <c r="H1821" i="2" s="1"/>
  <c r="E1821" i="2"/>
  <c r="B1821" i="2"/>
  <c r="A1821" i="2"/>
  <c r="A1780" i="2"/>
  <c r="E1780" i="2"/>
  <c r="B1780" i="2"/>
  <c r="F1780" i="2"/>
  <c r="H1780" i="2" s="1"/>
  <c r="F1804" i="2"/>
  <c r="H1804" i="2" s="1"/>
  <c r="A1804" i="2"/>
  <c r="E1804" i="2"/>
  <c r="B1804" i="2"/>
  <c r="E1853" i="2"/>
  <c r="F1853" i="2"/>
  <c r="H1853" i="2" s="1"/>
  <c r="B1853" i="2"/>
  <c r="A1853" i="2"/>
  <c r="E1839" i="2"/>
  <c r="F1839" i="2"/>
  <c r="H1839" i="2" s="1"/>
  <c r="B1839" i="2"/>
  <c r="A1839" i="2"/>
  <c r="E1837" i="2"/>
  <c r="F1837" i="2"/>
  <c r="H1837" i="2" s="1"/>
  <c r="B1837" i="2"/>
  <c r="A1837" i="2"/>
  <c r="B2098" i="2"/>
  <c r="F2098" i="2"/>
  <c r="H2098" i="2" s="1"/>
  <c r="E2098" i="2"/>
  <c r="A2098" i="2"/>
  <c r="B2029" i="2"/>
  <c r="E2029" i="2"/>
  <c r="A2029" i="2"/>
  <c r="F2029" i="2"/>
  <c r="H2029" i="2" s="1"/>
  <c r="B2047" i="2"/>
  <c r="A2047" i="2"/>
  <c r="F2047" i="2"/>
  <c r="H2047" i="2" s="1"/>
  <c r="E2047" i="2"/>
  <c r="A2309" i="2"/>
  <c r="B2309" i="2"/>
  <c r="F2309" i="2"/>
  <c r="H2309" i="2" s="1"/>
  <c r="E2309" i="2"/>
  <c r="B2055" i="2"/>
  <c r="A2055" i="2"/>
  <c r="F2055" i="2"/>
  <c r="H2055" i="2" s="1"/>
  <c r="E2055" i="2"/>
  <c r="B2117" i="2"/>
  <c r="A2117" i="2"/>
  <c r="E2117" i="2"/>
  <c r="F2117" i="2"/>
  <c r="H2117" i="2" s="1"/>
  <c r="B2017" i="2"/>
  <c r="F2017" i="2"/>
  <c r="H2017" i="2" s="1"/>
  <c r="E2017" i="2"/>
  <c r="A2017" i="2"/>
  <c r="E2334" i="2"/>
  <c r="A2334" i="2"/>
  <c r="F2334" i="2"/>
  <c r="H2334" i="2" s="1"/>
  <c r="B2334" i="2"/>
  <c r="E2252" i="2"/>
  <c r="B2252" i="2"/>
  <c r="F2252" i="2"/>
  <c r="H2252" i="2" s="1"/>
  <c r="A2252" i="2"/>
  <c r="E1896" i="2"/>
  <c r="F1896" i="2"/>
  <c r="H1896" i="2" s="1"/>
  <c r="B1896" i="2"/>
  <c r="A1896" i="2"/>
  <c r="E1920" i="2"/>
  <c r="B1920" i="2"/>
  <c r="A1920" i="2"/>
  <c r="F1920" i="2"/>
  <c r="H1920" i="2" s="1"/>
  <c r="E1944" i="2"/>
  <c r="F1944" i="2"/>
  <c r="H1944" i="2" s="1"/>
  <c r="B1944" i="2"/>
  <c r="A1944" i="2"/>
  <c r="E1968" i="2"/>
  <c r="B1968" i="2"/>
  <c r="A1968" i="2"/>
  <c r="F1968" i="2"/>
  <c r="H1968" i="2" s="1"/>
  <c r="F1992" i="2"/>
  <c r="H1992" i="2" s="1"/>
  <c r="E1992" i="2"/>
  <c r="B1992" i="2"/>
  <c r="A1992" i="2"/>
  <c r="B2070" i="2"/>
  <c r="F2070" i="2"/>
  <c r="H2070" i="2" s="1"/>
  <c r="A2070" i="2"/>
  <c r="E2070" i="2"/>
  <c r="B2118" i="2"/>
  <c r="F2118" i="2"/>
  <c r="H2118" i="2" s="1"/>
  <c r="E2118" i="2"/>
  <c r="A2118" i="2"/>
  <c r="B2080" i="2"/>
  <c r="E2080" i="2"/>
  <c r="F2080" i="2"/>
  <c r="H2080" i="2" s="1"/>
  <c r="A2080" i="2"/>
  <c r="B2130" i="2"/>
  <c r="F2130" i="2"/>
  <c r="H2130" i="2" s="1"/>
  <c r="E2130" i="2"/>
  <c r="A2130" i="2"/>
  <c r="B2119" i="2"/>
  <c r="F2119" i="2"/>
  <c r="H2119" i="2" s="1"/>
  <c r="E2119" i="2"/>
  <c r="A2119" i="2"/>
  <c r="B2095" i="2"/>
  <c r="F2095" i="2"/>
  <c r="H2095" i="2" s="1"/>
  <c r="A2095" i="2"/>
  <c r="E2095" i="2"/>
  <c r="E1877" i="2"/>
  <c r="F1877" i="2"/>
  <c r="H1877" i="2" s="1"/>
  <c r="B1877" i="2"/>
  <c r="A1877" i="2"/>
  <c r="B1901" i="2"/>
  <c r="F1901" i="2"/>
  <c r="H1901" i="2" s="1"/>
  <c r="E1901" i="2"/>
  <c r="A1901" i="2"/>
  <c r="B1925" i="2"/>
  <c r="F1925" i="2"/>
  <c r="H1925" i="2" s="1"/>
  <c r="E1925" i="2"/>
  <c r="A1925" i="2"/>
  <c r="B1949" i="2"/>
  <c r="A1949" i="2"/>
  <c r="F1949" i="2"/>
  <c r="H1949" i="2" s="1"/>
  <c r="E1949" i="2"/>
  <c r="B1973" i="2"/>
  <c r="A1973" i="2"/>
  <c r="F1973" i="2"/>
  <c r="H1973" i="2" s="1"/>
  <c r="E1973" i="2"/>
  <c r="E1997" i="2"/>
  <c r="B1997" i="2"/>
  <c r="A1997" i="2"/>
  <c r="F1997" i="2"/>
  <c r="H1997" i="2" s="1"/>
  <c r="B2103" i="2"/>
  <c r="F2103" i="2"/>
  <c r="H2103" i="2" s="1"/>
  <c r="E2103" i="2"/>
  <c r="A2103" i="2"/>
  <c r="F2358" i="2"/>
  <c r="H2358" i="2" s="1"/>
  <c r="B2358" i="2"/>
  <c r="A2358" i="2"/>
  <c r="E2358" i="2"/>
  <c r="B2109" i="2"/>
  <c r="F2109" i="2"/>
  <c r="H2109" i="2" s="1"/>
  <c r="E2109" i="2"/>
  <c r="A2109" i="2"/>
  <c r="E2143" i="2"/>
  <c r="F2143" i="2"/>
  <c r="H2143" i="2" s="1"/>
  <c r="A2143" i="2"/>
  <c r="B2143" i="2"/>
  <c r="A2210" i="2"/>
  <c r="F2210" i="2"/>
  <c r="H2210" i="2" s="1"/>
  <c r="E2210" i="2"/>
  <c r="B2210" i="2"/>
  <c r="F2524" i="2"/>
  <c r="H2524" i="2" s="1"/>
  <c r="E2524" i="2"/>
  <c r="B2524" i="2"/>
  <c r="A2524" i="2"/>
  <c r="B2402" i="2"/>
  <c r="A2402" i="2"/>
  <c r="F2402" i="2"/>
  <c r="H2402" i="2" s="1"/>
  <c r="E2402" i="2"/>
  <c r="E2260" i="2"/>
  <c r="F2260" i="2"/>
  <c r="H2260" i="2" s="1"/>
  <c r="B2260" i="2"/>
  <c r="A2260" i="2"/>
  <c r="A2166" i="2"/>
  <c r="B2166" i="2"/>
  <c r="F2166" i="2"/>
  <c r="H2166" i="2" s="1"/>
  <c r="E2166" i="2"/>
  <c r="E2308" i="2"/>
  <c r="A2308" i="2"/>
  <c r="B2308" i="2"/>
  <c r="F2308" i="2"/>
  <c r="H2308" i="2" s="1"/>
  <c r="F2554" i="2"/>
  <c r="H2554" i="2" s="1"/>
  <c r="E2554" i="2"/>
  <c r="A2554" i="2"/>
  <c r="B2554" i="2"/>
  <c r="E2304" i="2"/>
  <c r="A2304" i="2"/>
  <c r="F2304" i="2"/>
  <c r="H2304" i="2" s="1"/>
  <c r="B2304" i="2"/>
  <c r="A2239" i="2"/>
  <c r="F2239" i="2"/>
  <c r="H2239" i="2" s="1"/>
  <c r="E2239" i="2"/>
  <c r="B2239" i="2"/>
  <c r="F2636" i="2"/>
  <c r="H2636" i="2" s="1"/>
  <c r="B2636" i="2"/>
  <c r="E2636" i="2"/>
  <c r="A2636" i="2"/>
  <c r="B2181" i="2"/>
  <c r="F2181" i="2"/>
  <c r="H2181" i="2" s="1"/>
  <c r="E2181" i="2"/>
  <c r="A2181" i="2"/>
  <c r="B2205" i="2"/>
  <c r="A2205" i="2"/>
  <c r="F2205" i="2"/>
  <c r="H2205" i="2" s="1"/>
  <c r="E2205" i="2"/>
  <c r="B2229" i="2"/>
  <c r="F2229" i="2"/>
  <c r="H2229" i="2" s="1"/>
  <c r="E2229" i="2"/>
  <c r="A2229" i="2"/>
  <c r="B2348" i="2"/>
  <c r="A2348" i="2"/>
  <c r="F2348" i="2"/>
  <c r="H2348" i="2" s="1"/>
  <c r="E2348" i="2"/>
  <c r="F2626" i="2"/>
  <c r="H2626" i="2" s="1"/>
  <c r="A2626" i="2"/>
  <c r="E2626" i="2"/>
  <c r="B2626" i="2"/>
  <c r="F2492" i="2"/>
  <c r="H2492" i="2" s="1"/>
  <c r="E2492" i="2"/>
  <c r="B2492" i="2"/>
  <c r="A2492" i="2"/>
  <c r="E2274" i="2"/>
  <c r="F2274" i="2"/>
  <c r="H2274" i="2" s="1"/>
  <c r="B2274" i="2"/>
  <c r="A2274" i="2"/>
  <c r="F2602" i="2"/>
  <c r="H2602" i="2" s="1"/>
  <c r="E2602" i="2"/>
  <c r="A2602" i="2"/>
  <c r="B2602" i="2"/>
  <c r="E2470" i="2"/>
  <c r="B2470" i="2"/>
  <c r="A2470" i="2"/>
  <c r="F2470" i="2"/>
  <c r="H2470" i="2" s="1"/>
  <c r="F2518" i="2"/>
  <c r="H2518" i="2" s="1"/>
  <c r="E2518" i="2"/>
  <c r="A2518" i="2"/>
  <c r="B2518" i="2"/>
  <c r="B2380" i="2"/>
  <c r="E2380" i="2"/>
  <c r="A2380" i="2"/>
  <c r="F2380" i="2"/>
  <c r="H2380" i="2" s="1"/>
  <c r="F2552" i="2"/>
  <c r="H2552" i="2" s="1"/>
  <c r="E2552" i="2"/>
  <c r="A2552" i="2"/>
  <c r="B2552" i="2"/>
  <c r="F2504" i="2"/>
  <c r="H2504" i="2" s="1"/>
  <c r="E2504" i="2"/>
  <c r="B2504" i="2"/>
  <c r="A2504" i="2"/>
  <c r="F2257" i="2"/>
  <c r="H2257" i="2" s="1"/>
  <c r="A2257" i="2"/>
  <c r="E2257" i="2"/>
  <c r="B2257" i="2"/>
  <c r="F2490" i="2"/>
  <c r="H2490" i="2" s="1"/>
  <c r="B2490" i="2"/>
  <c r="E2490" i="2"/>
  <c r="A2490" i="2"/>
  <c r="F2530" i="2"/>
  <c r="H2530" i="2" s="1"/>
  <c r="A2530" i="2"/>
  <c r="E2530" i="2"/>
  <c r="B2530" i="2"/>
  <c r="E2340" i="2"/>
  <c r="A2340" i="2"/>
  <c r="B2340" i="2"/>
  <c r="F2340" i="2"/>
  <c r="H2340" i="2" s="1"/>
  <c r="E2719" i="2"/>
  <c r="F2719" i="2"/>
  <c r="H2719" i="2" s="1"/>
  <c r="B2719" i="2"/>
  <c r="A2719" i="2"/>
  <c r="B2638" i="2"/>
  <c r="F2638" i="2"/>
  <c r="H2638" i="2" s="1"/>
  <c r="E2638" i="2"/>
  <c r="A2638" i="2"/>
  <c r="E2349" i="2"/>
  <c r="A2349" i="2"/>
  <c r="F2349" i="2"/>
  <c r="H2349" i="2" s="1"/>
  <c r="B2349" i="2"/>
  <c r="E2373" i="2"/>
  <c r="F2373" i="2"/>
  <c r="H2373" i="2" s="1"/>
  <c r="B2373" i="2"/>
  <c r="A2373" i="2"/>
  <c r="E2397" i="2"/>
  <c r="F2397" i="2"/>
  <c r="H2397" i="2" s="1"/>
  <c r="B2397" i="2"/>
  <c r="A2397" i="2"/>
  <c r="E2421" i="2"/>
  <c r="F2421" i="2"/>
  <c r="H2421" i="2" s="1"/>
  <c r="A2421" i="2"/>
  <c r="B2421" i="2"/>
  <c r="E2445" i="2"/>
  <c r="A2445" i="2"/>
  <c r="B2445" i="2"/>
  <c r="F2445" i="2"/>
  <c r="H2445" i="2" s="1"/>
  <c r="E2469" i="2"/>
  <c r="F2469" i="2"/>
  <c r="H2469" i="2" s="1"/>
  <c r="B2469" i="2"/>
  <c r="A2469" i="2"/>
  <c r="E2493" i="2"/>
  <c r="F2493" i="2"/>
  <c r="H2493" i="2" s="1"/>
  <c r="B2493" i="2"/>
  <c r="A2493" i="2"/>
  <c r="E2586" i="2"/>
  <c r="F2586" i="2"/>
  <c r="H2586" i="2" s="1"/>
  <c r="B2586" i="2"/>
  <c r="A2586" i="2"/>
  <c r="F2591" i="2"/>
  <c r="H2591" i="2" s="1"/>
  <c r="A2591" i="2"/>
  <c r="B2591" i="2"/>
  <c r="E2591" i="2"/>
  <c r="E2563" i="2"/>
  <c r="B2563" i="2"/>
  <c r="F2563" i="2"/>
  <c r="H2563" i="2" s="1"/>
  <c r="A2563" i="2"/>
  <c r="E2707" i="2"/>
  <c r="B2707" i="2"/>
  <c r="F2707" i="2"/>
  <c r="H2707" i="2" s="1"/>
  <c r="A2707" i="2"/>
  <c r="F399" i="2"/>
  <c r="H399" i="2" s="1"/>
  <c r="E399" i="2"/>
  <c r="A399" i="2"/>
  <c r="B399" i="2"/>
  <c r="B525" i="2"/>
  <c r="A525" i="2"/>
  <c r="F525" i="2"/>
  <c r="H525" i="2" s="1"/>
  <c r="E525" i="2"/>
  <c r="B56" i="2"/>
  <c r="A56" i="2"/>
  <c r="F56" i="2"/>
  <c r="H56" i="2" s="1"/>
  <c r="E56" i="2"/>
  <c r="B26" i="2"/>
  <c r="A26" i="2"/>
  <c r="F26" i="2"/>
  <c r="H26" i="2" s="1"/>
  <c r="E26" i="2"/>
  <c r="A396" i="2"/>
  <c r="E396" i="2"/>
  <c r="B396" i="2"/>
  <c r="F396" i="2"/>
  <c r="H396" i="2" s="1"/>
  <c r="B615" i="2"/>
  <c r="A615" i="2"/>
  <c r="F615" i="2"/>
  <c r="H615" i="2" s="1"/>
  <c r="E615" i="2"/>
  <c r="A164" i="2"/>
  <c r="E164" i="2"/>
  <c r="B164" i="2"/>
  <c r="F164" i="2"/>
  <c r="H164" i="2" s="1"/>
  <c r="A232" i="2"/>
  <c r="F232" i="2"/>
  <c r="H232" i="2" s="1"/>
  <c r="E232" i="2"/>
  <c r="B232" i="2"/>
  <c r="F245" i="2"/>
  <c r="H245" i="2" s="1"/>
  <c r="A245" i="2"/>
  <c r="B245" i="2"/>
  <c r="E245" i="2"/>
  <c r="A414" i="2"/>
  <c r="F414" i="2"/>
  <c r="H414" i="2" s="1"/>
  <c r="E414" i="2"/>
  <c r="B414" i="2"/>
  <c r="E429" i="2"/>
  <c r="B429" i="2"/>
  <c r="A429" i="2"/>
  <c r="F429" i="2"/>
  <c r="H429" i="2" s="1"/>
  <c r="B78" i="2"/>
  <c r="A78" i="2"/>
  <c r="F78" i="2"/>
  <c r="H78" i="2" s="1"/>
  <c r="E78" i="2"/>
  <c r="B34" i="2"/>
  <c r="A34" i="2"/>
  <c r="E34" i="2"/>
  <c r="F34" i="2"/>
  <c r="H34" i="2" s="1"/>
  <c r="F157" i="2"/>
  <c r="H157" i="2" s="1"/>
  <c r="E157" i="2"/>
  <c r="B157" i="2"/>
  <c r="A157" i="2"/>
  <c r="F293" i="2"/>
  <c r="H293" i="2" s="1"/>
  <c r="A293" i="2"/>
  <c r="E293" i="2"/>
  <c r="B293" i="2"/>
  <c r="F345" i="2"/>
  <c r="H345" i="2" s="1"/>
  <c r="E345" i="2"/>
  <c r="A345" i="2"/>
  <c r="B345" i="2"/>
  <c r="F393" i="2"/>
  <c r="H393" i="2" s="1"/>
  <c r="E393" i="2"/>
  <c r="A393" i="2"/>
  <c r="B393" i="2"/>
  <c r="E168" i="2"/>
  <c r="B168" i="2"/>
  <c r="A168" i="2"/>
  <c r="F168" i="2"/>
  <c r="H168" i="2" s="1"/>
  <c r="B433" i="2"/>
  <c r="E433" i="2"/>
  <c r="A433" i="2"/>
  <c r="F433" i="2"/>
  <c r="H433" i="2" s="1"/>
  <c r="E39" i="2"/>
  <c r="B39" i="2"/>
  <c r="F39" i="2"/>
  <c r="H39" i="2" s="1"/>
  <c r="A39" i="2"/>
  <c r="E63" i="2"/>
  <c r="B63" i="2"/>
  <c r="F63" i="2"/>
  <c r="H63" i="2" s="1"/>
  <c r="A63" i="2"/>
  <c r="E87" i="2"/>
  <c r="B87" i="2"/>
  <c r="A87" i="2"/>
  <c r="F87" i="2"/>
  <c r="H87" i="2" s="1"/>
  <c r="F171" i="2"/>
  <c r="H171" i="2" s="1"/>
  <c r="E171" i="2"/>
  <c r="B171" i="2"/>
  <c r="A171" i="2"/>
  <c r="B575" i="2"/>
  <c r="A575" i="2"/>
  <c r="F575" i="2"/>
  <c r="H575" i="2" s="1"/>
  <c r="E575" i="2"/>
  <c r="F145" i="2"/>
  <c r="H145" i="2" s="1"/>
  <c r="E145" i="2"/>
  <c r="B145" i="2"/>
  <c r="A145" i="2"/>
  <c r="F287" i="2"/>
  <c r="H287" i="2" s="1"/>
  <c r="A287" i="2"/>
  <c r="E287" i="2"/>
  <c r="B287" i="2"/>
  <c r="F389" i="2"/>
  <c r="H389" i="2" s="1"/>
  <c r="E389" i="2"/>
  <c r="A389" i="2"/>
  <c r="B389" i="2"/>
  <c r="F132" i="2"/>
  <c r="H132" i="2" s="1"/>
  <c r="E132" i="2"/>
  <c r="A132" i="2"/>
  <c r="B132" i="2"/>
  <c r="E1024" i="2"/>
  <c r="B1024" i="2"/>
  <c r="F1024" i="2"/>
  <c r="H1024" i="2" s="1"/>
  <c r="A1024" i="2"/>
  <c r="F237" i="2"/>
  <c r="H237" i="2" s="1"/>
  <c r="E237" i="2"/>
  <c r="B237" i="2"/>
  <c r="A237" i="2"/>
  <c r="B538" i="2"/>
  <c r="A538" i="2"/>
  <c r="F538" i="2"/>
  <c r="H538" i="2" s="1"/>
  <c r="E538" i="2"/>
  <c r="F176" i="2"/>
  <c r="H176" i="2" s="1"/>
  <c r="E176" i="2"/>
  <c r="B176" i="2"/>
  <c r="A176" i="2"/>
  <c r="F315" i="2"/>
  <c r="H315" i="2" s="1"/>
  <c r="E315" i="2"/>
  <c r="A315" i="2"/>
  <c r="B315" i="2"/>
  <c r="F363" i="2"/>
  <c r="H363" i="2" s="1"/>
  <c r="E363" i="2"/>
  <c r="A363" i="2"/>
  <c r="B363" i="2"/>
  <c r="F411" i="2"/>
  <c r="H411" i="2" s="1"/>
  <c r="E411" i="2"/>
  <c r="A411" i="2"/>
  <c r="B411" i="2"/>
  <c r="F185" i="2"/>
  <c r="H185" i="2" s="1"/>
  <c r="E185" i="2"/>
  <c r="B185" i="2"/>
  <c r="A185" i="2"/>
  <c r="A444" i="2"/>
  <c r="E444" i="2"/>
  <c r="B444" i="2"/>
  <c r="F444" i="2"/>
  <c r="H444" i="2" s="1"/>
  <c r="E96" i="2"/>
  <c r="B96" i="2"/>
  <c r="A96" i="2"/>
  <c r="F96" i="2"/>
  <c r="H96" i="2" s="1"/>
  <c r="F220" i="2"/>
  <c r="H220" i="2" s="1"/>
  <c r="E220" i="2"/>
  <c r="B220" i="2"/>
  <c r="A220" i="2"/>
  <c r="B687" i="2"/>
  <c r="A687" i="2"/>
  <c r="F687" i="2"/>
  <c r="H687" i="2" s="1"/>
  <c r="E687" i="2"/>
  <c r="F533" i="2"/>
  <c r="H533" i="2" s="1"/>
  <c r="E533" i="2"/>
  <c r="B533" i="2"/>
  <c r="A533" i="2"/>
  <c r="B989" i="2"/>
  <c r="A989" i="2"/>
  <c r="F989" i="2"/>
  <c r="H989" i="2" s="1"/>
  <c r="E989" i="2"/>
  <c r="E520" i="2"/>
  <c r="B520" i="2"/>
  <c r="A520" i="2"/>
  <c r="F520" i="2"/>
  <c r="H520" i="2" s="1"/>
  <c r="E633" i="2"/>
  <c r="B633" i="2"/>
  <c r="A633" i="2"/>
  <c r="F633" i="2"/>
  <c r="H633" i="2" s="1"/>
  <c r="B1227" i="2"/>
  <c r="A1227" i="2"/>
  <c r="F1227" i="2"/>
  <c r="H1227" i="2" s="1"/>
  <c r="E1227" i="2"/>
  <c r="A536" i="2"/>
  <c r="F536" i="2"/>
  <c r="H536" i="2" s="1"/>
  <c r="E536" i="2"/>
  <c r="B536" i="2"/>
  <c r="F486" i="2"/>
  <c r="H486" i="2" s="1"/>
  <c r="E486" i="2"/>
  <c r="B486" i="2"/>
  <c r="A486" i="2"/>
  <c r="E856" i="2"/>
  <c r="B856" i="2"/>
  <c r="F856" i="2"/>
  <c r="H856" i="2" s="1"/>
  <c r="A856" i="2"/>
  <c r="B1053" i="2"/>
  <c r="A1053" i="2"/>
  <c r="F1053" i="2"/>
  <c r="H1053" i="2" s="1"/>
  <c r="E1053" i="2"/>
  <c r="F553" i="2"/>
  <c r="H553" i="2" s="1"/>
  <c r="E553" i="2"/>
  <c r="A553" i="2"/>
  <c r="B553" i="2"/>
  <c r="F653" i="2"/>
  <c r="H653" i="2" s="1"/>
  <c r="E653" i="2"/>
  <c r="B653" i="2"/>
  <c r="A653" i="2"/>
  <c r="F421" i="2"/>
  <c r="H421" i="2" s="1"/>
  <c r="B421" i="2"/>
  <c r="E421" i="2"/>
  <c r="A421" i="2"/>
  <c r="E816" i="2"/>
  <c r="B816" i="2"/>
  <c r="F816" i="2"/>
  <c r="H816" i="2" s="1"/>
  <c r="A816" i="2"/>
  <c r="F515" i="2"/>
  <c r="H515" i="2" s="1"/>
  <c r="E515" i="2"/>
  <c r="B515" i="2"/>
  <c r="A515" i="2"/>
  <c r="E880" i="2"/>
  <c r="B880" i="2"/>
  <c r="F880" i="2"/>
  <c r="H880" i="2" s="1"/>
  <c r="A880" i="2"/>
  <c r="F441" i="2"/>
  <c r="H441" i="2" s="1"/>
  <c r="E441" i="2"/>
  <c r="B441" i="2"/>
  <c r="A441" i="2"/>
  <c r="F595" i="2"/>
  <c r="H595" i="2" s="1"/>
  <c r="E595" i="2"/>
  <c r="B595" i="2"/>
  <c r="A595" i="2"/>
  <c r="F691" i="2"/>
  <c r="H691" i="2" s="1"/>
  <c r="E691" i="2"/>
  <c r="B691" i="2"/>
  <c r="A691" i="2"/>
  <c r="E765" i="2"/>
  <c r="A765" i="2"/>
  <c r="F765" i="2"/>
  <c r="H765" i="2" s="1"/>
  <c r="B765" i="2"/>
  <c r="F549" i="2"/>
  <c r="H549" i="2" s="1"/>
  <c r="E549" i="2"/>
  <c r="B549" i="2"/>
  <c r="A549" i="2"/>
  <c r="B1123" i="2"/>
  <c r="A1123" i="2"/>
  <c r="F1123" i="2"/>
  <c r="H1123" i="2" s="1"/>
  <c r="E1123" i="2"/>
  <c r="E744" i="2"/>
  <c r="A744" i="2"/>
  <c r="F744" i="2"/>
  <c r="H744" i="2" s="1"/>
  <c r="B744" i="2"/>
  <c r="E862" i="2"/>
  <c r="B862" i="2"/>
  <c r="A862" i="2"/>
  <c r="F862" i="2"/>
  <c r="H862" i="2" s="1"/>
  <c r="E910" i="2"/>
  <c r="B910" i="2"/>
  <c r="F910" i="2"/>
  <c r="H910" i="2" s="1"/>
  <c r="A910" i="2"/>
  <c r="E958" i="2"/>
  <c r="B958" i="2"/>
  <c r="A958" i="2"/>
  <c r="F958" i="2"/>
  <c r="H958" i="2" s="1"/>
  <c r="E1006" i="2"/>
  <c r="B1006" i="2"/>
  <c r="F1006" i="2"/>
  <c r="H1006" i="2" s="1"/>
  <c r="A1006" i="2"/>
  <c r="E790" i="2"/>
  <c r="F790" i="2"/>
  <c r="H790" i="2" s="1"/>
  <c r="B790" i="2"/>
  <c r="A790" i="2"/>
  <c r="B1187" i="2"/>
  <c r="A1187" i="2"/>
  <c r="F1187" i="2"/>
  <c r="H1187" i="2" s="1"/>
  <c r="E1187" i="2"/>
  <c r="E554" i="2"/>
  <c r="B554" i="2"/>
  <c r="A554" i="2"/>
  <c r="F554" i="2"/>
  <c r="H554" i="2" s="1"/>
  <c r="E578" i="2"/>
  <c r="F578" i="2"/>
  <c r="H578" i="2" s="1"/>
  <c r="B578" i="2"/>
  <c r="A578" i="2"/>
  <c r="E602" i="2"/>
  <c r="F602" i="2"/>
  <c r="H602" i="2" s="1"/>
  <c r="B602" i="2"/>
  <c r="A602" i="2"/>
  <c r="E626" i="2"/>
  <c r="F626" i="2"/>
  <c r="H626" i="2" s="1"/>
  <c r="A626" i="2"/>
  <c r="B626" i="2"/>
  <c r="E650" i="2"/>
  <c r="F650" i="2"/>
  <c r="H650" i="2" s="1"/>
  <c r="B650" i="2"/>
  <c r="A650" i="2"/>
  <c r="E674" i="2"/>
  <c r="F674" i="2"/>
  <c r="H674" i="2" s="1"/>
  <c r="B674" i="2"/>
  <c r="A674" i="2"/>
  <c r="E698" i="2"/>
  <c r="F698" i="2"/>
  <c r="H698" i="2" s="1"/>
  <c r="B698" i="2"/>
  <c r="A698" i="2"/>
  <c r="E722" i="2"/>
  <c r="B722" i="2"/>
  <c r="A722" i="2"/>
  <c r="F722" i="2"/>
  <c r="H722" i="2" s="1"/>
  <c r="F777" i="2"/>
  <c r="H777" i="2" s="1"/>
  <c r="E777" i="2"/>
  <c r="A777" i="2"/>
  <c r="B777" i="2"/>
  <c r="F799" i="2"/>
  <c r="H799" i="2" s="1"/>
  <c r="E799" i="2"/>
  <c r="B799" i="2"/>
  <c r="A799" i="2"/>
  <c r="F865" i="2"/>
  <c r="H865" i="2" s="1"/>
  <c r="E865" i="2"/>
  <c r="B865" i="2"/>
  <c r="A865" i="2"/>
  <c r="F913" i="2"/>
  <c r="H913" i="2" s="1"/>
  <c r="E913" i="2"/>
  <c r="B913" i="2"/>
  <c r="A913" i="2"/>
  <c r="F961" i="2"/>
  <c r="H961" i="2" s="1"/>
  <c r="E961" i="2"/>
  <c r="B961" i="2"/>
  <c r="A961" i="2"/>
  <c r="F1009" i="2"/>
  <c r="H1009" i="2" s="1"/>
  <c r="E1009" i="2"/>
  <c r="B1009" i="2"/>
  <c r="A1009" i="2"/>
  <c r="E784" i="2"/>
  <c r="F784" i="2"/>
  <c r="H784" i="2" s="1"/>
  <c r="B784" i="2"/>
  <c r="A784" i="2"/>
  <c r="F795" i="2"/>
  <c r="H795" i="2" s="1"/>
  <c r="E795" i="2"/>
  <c r="B795" i="2"/>
  <c r="A795" i="2"/>
  <c r="E1402" i="2"/>
  <c r="B1402" i="2"/>
  <c r="A1402" i="2"/>
  <c r="F1402" i="2"/>
  <c r="H1402" i="2" s="1"/>
  <c r="F855" i="2"/>
  <c r="H855" i="2" s="1"/>
  <c r="E855" i="2"/>
  <c r="B855" i="2"/>
  <c r="A855" i="2"/>
  <c r="F903" i="2"/>
  <c r="H903" i="2" s="1"/>
  <c r="E903" i="2"/>
  <c r="B903" i="2"/>
  <c r="A903" i="2"/>
  <c r="F951" i="2"/>
  <c r="H951" i="2" s="1"/>
  <c r="E951" i="2"/>
  <c r="B951" i="2"/>
  <c r="A951" i="2"/>
  <c r="F999" i="2"/>
  <c r="H999" i="2" s="1"/>
  <c r="E999" i="2"/>
  <c r="B999" i="2"/>
  <c r="A999" i="2"/>
  <c r="E1327" i="2"/>
  <c r="B1327" i="2"/>
  <c r="A1327" i="2"/>
  <c r="F1327" i="2"/>
  <c r="H1327" i="2" s="1"/>
  <c r="E1504" i="2"/>
  <c r="B1504" i="2"/>
  <c r="A1504" i="2"/>
  <c r="F1504" i="2"/>
  <c r="H1504" i="2" s="1"/>
  <c r="A1217" i="2"/>
  <c r="F1217" i="2"/>
  <c r="H1217" i="2" s="1"/>
  <c r="E1217" i="2"/>
  <c r="B1217" i="2"/>
  <c r="F1139" i="2"/>
  <c r="H1139" i="2" s="1"/>
  <c r="E1139" i="2"/>
  <c r="B1139" i="2"/>
  <c r="A1139" i="2"/>
  <c r="A1405" i="2"/>
  <c r="B1405" i="2"/>
  <c r="F1405" i="2"/>
  <c r="H1405" i="2" s="1"/>
  <c r="E1405" i="2"/>
  <c r="B1678" i="2"/>
  <c r="A1678" i="2"/>
  <c r="F1678" i="2"/>
  <c r="H1678" i="2" s="1"/>
  <c r="E1678" i="2"/>
  <c r="F1239" i="2"/>
  <c r="H1239" i="2" s="1"/>
  <c r="E1239" i="2"/>
  <c r="B1239" i="2"/>
  <c r="A1239" i="2"/>
  <c r="F1165" i="2"/>
  <c r="H1165" i="2" s="1"/>
  <c r="E1165" i="2"/>
  <c r="B1165" i="2"/>
  <c r="A1165" i="2"/>
  <c r="F1052" i="2"/>
  <c r="H1052" i="2" s="1"/>
  <c r="E1052" i="2"/>
  <c r="B1052" i="2"/>
  <c r="A1052" i="2"/>
  <c r="F1131" i="2"/>
  <c r="H1131" i="2" s="1"/>
  <c r="E1131" i="2"/>
  <c r="B1131" i="2"/>
  <c r="A1131" i="2"/>
  <c r="F1105" i="2"/>
  <c r="H1105" i="2" s="1"/>
  <c r="E1105" i="2"/>
  <c r="B1105" i="2"/>
  <c r="A1105" i="2"/>
  <c r="F1237" i="2"/>
  <c r="H1237" i="2" s="1"/>
  <c r="E1237" i="2"/>
  <c r="B1237" i="2"/>
  <c r="A1237" i="2"/>
  <c r="E1446" i="2"/>
  <c r="F1446" i="2"/>
  <c r="H1446" i="2" s="1"/>
  <c r="B1446" i="2"/>
  <c r="A1446" i="2"/>
  <c r="E1351" i="2"/>
  <c r="B1351" i="2"/>
  <c r="A1351" i="2"/>
  <c r="F1351" i="2"/>
  <c r="H1351" i="2" s="1"/>
  <c r="A1507" i="2"/>
  <c r="E1507" i="2"/>
  <c r="B1507" i="2"/>
  <c r="F1507" i="2"/>
  <c r="H1507" i="2" s="1"/>
  <c r="E1340" i="2"/>
  <c r="B1340" i="2"/>
  <c r="F1340" i="2"/>
  <c r="H1340" i="2" s="1"/>
  <c r="A1340" i="2"/>
  <c r="E1396" i="2"/>
  <c r="F1396" i="2"/>
  <c r="H1396" i="2" s="1"/>
  <c r="B1396" i="2"/>
  <c r="A1396" i="2"/>
  <c r="E1454" i="2"/>
  <c r="F1454" i="2"/>
  <c r="H1454" i="2" s="1"/>
  <c r="B1454" i="2"/>
  <c r="A1454" i="2"/>
  <c r="B1302" i="2"/>
  <c r="F1302" i="2"/>
  <c r="H1302" i="2" s="1"/>
  <c r="E1302" i="2"/>
  <c r="A1302" i="2"/>
  <c r="A1397" i="2"/>
  <c r="F1397" i="2"/>
  <c r="H1397" i="2" s="1"/>
  <c r="E1397" i="2"/>
  <c r="B1397" i="2"/>
  <c r="F1072" i="2"/>
  <c r="H1072" i="2" s="1"/>
  <c r="E1072" i="2"/>
  <c r="B1072" i="2"/>
  <c r="A1072" i="2"/>
  <c r="F1096" i="2"/>
  <c r="H1096" i="2" s="1"/>
  <c r="E1096" i="2"/>
  <c r="B1096" i="2"/>
  <c r="A1096" i="2"/>
  <c r="F1120" i="2"/>
  <c r="H1120" i="2" s="1"/>
  <c r="E1120" i="2"/>
  <c r="B1120" i="2"/>
  <c r="A1120" i="2"/>
  <c r="F1144" i="2"/>
  <c r="H1144" i="2" s="1"/>
  <c r="E1144" i="2"/>
  <c r="B1144" i="2"/>
  <c r="A1144" i="2"/>
  <c r="F1168" i="2"/>
  <c r="H1168" i="2" s="1"/>
  <c r="E1168" i="2"/>
  <c r="B1168" i="2"/>
  <c r="A1168" i="2"/>
  <c r="F1192" i="2"/>
  <c r="H1192" i="2" s="1"/>
  <c r="B1192" i="2"/>
  <c r="E1192" i="2"/>
  <c r="A1192" i="2"/>
  <c r="F1216" i="2"/>
  <c r="H1216" i="2" s="1"/>
  <c r="B1216" i="2"/>
  <c r="E1216" i="2"/>
  <c r="A1216" i="2"/>
  <c r="F1240" i="2"/>
  <c r="H1240" i="2" s="1"/>
  <c r="B1240" i="2"/>
  <c r="E1240" i="2"/>
  <c r="A1240" i="2"/>
  <c r="F1264" i="2"/>
  <c r="H1264" i="2" s="1"/>
  <c r="B1264" i="2"/>
  <c r="E1264" i="2"/>
  <c r="A1264" i="2"/>
  <c r="F1288" i="2"/>
  <c r="H1288" i="2" s="1"/>
  <c r="B1288" i="2"/>
  <c r="E1288" i="2"/>
  <c r="A1288" i="2"/>
  <c r="E1426" i="2"/>
  <c r="B1426" i="2"/>
  <c r="A1426" i="2"/>
  <c r="F1426" i="2"/>
  <c r="H1426" i="2" s="1"/>
  <c r="E1324" i="2"/>
  <c r="B1324" i="2"/>
  <c r="F1324" i="2"/>
  <c r="H1324" i="2" s="1"/>
  <c r="A1324" i="2"/>
  <c r="A1455" i="2"/>
  <c r="B1455" i="2"/>
  <c r="F1455" i="2"/>
  <c r="H1455" i="2" s="1"/>
  <c r="E1455" i="2"/>
  <c r="A1439" i="2"/>
  <c r="F1439" i="2"/>
  <c r="H1439" i="2" s="1"/>
  <c r="E1439" i="2"/>
  <c r="B1439" i="2"/>
  <c r="F1329" i="2"/>
  <c r="H1329" i="2" s="1"/>
  <c r="E1329" i="2"/>
  <c r="B1329" i="2"/>
  <c r="A1329" i="2"/>
  <c r="E1414" i="2"/>
  <c r="B1414" i="2"/>
  <c r="A1414" i="2"/>
  <c r="F1414" i="2"/>
  <c r="H1414" i="2" s="1"/>
  <c r="F1599" i="2"/>
  <c r="H1599" i="2" s="1"/>
  <c r="E1599" i="2"/>
  <c r="B1599" i="2"/>
  <c r="A1599" i="2"/>
  <c r="A1425" i="2"/>
  <c r="F1425" i="2"/>
  <c r="H1425" i="2" s="1"/>
  <c r="B1425" i="2"/>
  <c r="E1425" i="2"/>
  <c r="A1519" i="2"/>
  <c r="B1519" i="2"/>
  <c r="F1519" i="2"/>
  <c r="H1519" i="2" s="1"/>
  <c r="E1519" i="2"/>
  <c r="A1555" i="2"/>
  <c r="B1555" i="2"/>
  <c r="F1555" i="2"/>
  <c r="H1555" i="2" s="1"/>
  <c r="E1555" i="2"/>
  <c r="B1619" i="2"/>
  <c r="A1619" i="2"/>
  <c r="F1619" i="2"/>
  <c r="H1619" i="2" s="1"/>
  <c r="E1619" i="2"/>
  <c r="E1845" i="2"/>
  <c r="F1845" i="2"/>
  <c r="H1845" i="2" s="1"/>
  <c r="A1845" i="2"/>
  <c r="B1845" i="2"/>
  <c r="A1762" i="2"/>
  <c r="E1762" i="2"/>
  <c r="B1762" i="2"/>
  <c r="F1762" i="2"/>
  <c r="H1762" i="2" s="1"/>
  <c r="E1500" i="2"/>
  <c r="F1500" i="2"/>
  <c r="H1500" i="2" s="1"/>
  <c r="A1500" i="2"/>
  <c r="B1500" i="2"/>
  <c r="A1511" i="2"/>
  <c r="F1511" i="2"/>
  <c r="H1511" i="2" s="1"/>
  <c r="E1511" i="2"/>
  <c r="B1511" i="2"/>
  <c r="A1547" i="2"/>
  <c r="F1547" i="2"/>
  <c r="H1547" i="2" s="1"/>
  <c r="E1547" i="2"/>
  <c r="B1547" i="2"/>
  <c r="F1658" i="2"/>
  <c r="H1658" i="2" s="1"/>
  <c r="E1658" i="2"/>
  <c r="B1658" i="2"/>
  <c r="A1658" i="2"/>
  <c r="F1624" i="2"/>
  <c r="H1624" i="2" s="1"/>
  <c r="E1624" i="2"/>
  <c r="B1624" i="2"/>
  <c r="A1624" i="2"/>
  <c r="F1803" i="2"/>
  <c r="H1803" i="2" s="1"/>
  <c r="E1803" i="2"/>
  <c r="B1803" i="2"/>
  <c r="A1803" i="2"/>
  <c r="B2089" i="2"/>
  <c r="F2089" i="2"/>
  <c r="H2089" i="2" s="1"/>
  <c r="E2089" i="2"/>
  <c r="A2089" i="2"/>
  <c r="E1789" i="2"/>
  <c r="A1789" i="2"/>
  <c r="B1789" i="2"/>
  <c r="F1789" i="2"/>
  <c r="H1789" i="2" s="1"/>
  <c r="A1741" i="2"/>
  <c r="F1741" i="2"/>
  <c r="H1741" i="2" s="1"/>
  <c r="E1741" i="2"/>
  <c r="B1741" i="2"/>
  <c r="F1620" i="2"/>
  <c r="H1620" i="2" s="1"/>
  <c r="E1620" i="2"/>
  <c r="B1620" i="2"/>
  <c r="A1620" i="2"/>
  <c r="F1791" i="2"/>
  <c r="H1791" i="2" s="1"/>
  <c r="E1791" i="2"/>
  <c r="A1791" i="2"/>
  <c r="B1791" i="2"/>
  <c r="F1666" i="2"/>
  <c r="H1666" i="2" s="1"/>
  <c r="B1666" i="2"/>
  <c r="A1666" i="2"/>
  <c r="E1666" i="2"/>
  <c r="E1871" i="2"/>
  <c r="F1871" i="2"/>
  <c r="H1871" i="2" s="1"/>
  <c r="B1871" i="2"/>
  <c r="A1871" i="2"/>
  <c r="F1732" i="2"/>
  <c r="H1732" i="2" s="1"/>
  <c r="E1732" i="2"/>
  <c r="B1732" i="2"/>
  <c r="A1732" i="2"/>
  <c r="F1651" i="2"/>
  <c r="H1651" i="2" s="1"/>
  <c r="E1651" i="2"/>
  <c r="B1651" i="2"/>
  <c r="A1651" i="2"/>
  <c r="F1811" i="2"/>
  <c r="H1811" i="2" s="1"/>
  <c r="E1811" i="2"/>
  <c r="B1811" i="2"/>
  <c r="A1811" i="2"/>
  <c r="F1673" i="2"/>
  <c r="H1673" i="2" s="1"/>
  <c r="E1673" i="2"/>
  <c r="B1673" i="2"/>
  <c r="A1673" i="2"/>
  <c r="F1826" i="2"/>
  <c r="H1826" i="2" s="1"/>
  <c r="B1826" i="2"/>
  <c r="E1826" i="2"/>
  <c r="A1826" i="2"/>
  <c r="F1782" i="2"/>
  <c r="H1782" i="2" s="1"/>
  <c r="E1782" i="2"/>
  <c r="B1782" i="2"/>
  <c r="A1782" i="2"/>
  <c r="F1806" i="2"/>
  <c r="H1806" i="2" s="1"/>
  <c r="E1806" i="2"/>
  <c r="B1806" i="2"/>
  <c r="A1806" i="2"/>
  <c r="E1865" i="2"/>
  <c r="F1865" i="2"/>
  <c r="H1865" i="2" s="1"/>
  <c r="B1865" i="2"/>
  <c r="A1865" i="2"/>
  <c r="E1851" i="2"/>
  <c r="F1851" i="2"/>
  <c r="H1851" i="2" s="1"/>
  <c r="B1851" i="2"/>
  <c r="A1851" i="2"/>
  <c r="E1849" i="2"/>
  <c r="F1849" i="2"/>
  <c r="H1849" i="2" s="1"/>
  <c r="B1849" i="2"/>
  <c r="A1849" i="2"/>
  <c r="B2015" i="2"/>
  <c r="F2015" i="2"/>
  <c r="H2015" i="2" s="1"/>
  <c r="E2015" i="2"/>
  <c r="A2015" i="2"/>
  <c r="B2032" i="2"/>
  <c r="E2032" i="2"/>
  <c r="A2032" i="2"/>
  <c r="F2032" i="2"/>
  <c r="H2032" i="2" s="1"/>
  <c r="B2062" i="2"/>
  <c r="E2062" i="2"/>
  <c r="A2062" i="2"/>
  <c r="F2062" i="2"/>
  <c r="H2062" i="2" s="1"/>
  <c r="B2036" i="2"/>
  <c r="F2036" i="2"/>
  <c r="H2036" i="2" s="1"/>
  <c r="E2036" i="2"/>
  <c r="A2036" i="2"/>
  <c r="B2067" i="2"/>
  <c r="A2067" i="2"/>
  <c r="F2067" i="2"/>
  <c r="H2067" i="2" s="1"/>
  <c r="E2067" i="2"/>
  <c r="B2488" i="2"/>
  <c r="F2488" i="2"/>
  <c r="H2488" i="2" s="1"/>
  <c r="E2488" i="2"/>
  <c r="A2488" i="2"/>
  <c r="B2020" i="2"/>
  <c r="E2020" i="2"/>
  <c r="F2020" i="2"/>
  <c r="H2020" i="2" s="1"/>
  <c r="A2020" i="2"/>
  <c r="F2362" i="2"/>
  <c r="H2362" i="2" s="1"/>
  <c r="E2362" i="2"/>
  <c r="B2362" i="2"/>
  <c r="A2362" i="2"/>
  <c r="A2364" i="2"/>
  <c r="F2364" i="2"/>
  <c r="H2364" i="2" s="1"/>
  <c r="E2364" i="2"/>
  <c r="B2364" i="2"/>
  <c r="F1898" i="2"/>
  <c r="H1898" i="2" s="1"/>
  <c r="E1898" i="2"/>
  <c r="B1898" i="2"/>
  <c r="A1898" i="2"/>
  <c r="F1922" i="2"/>
  <c r="H1922" i="2" s="1"/>
  <c r="E1922" i="2"/>
  <c r="B1922" i="2"/>
  <c r="A1922" i="2"/>
  <c r="A1946" i="2"/>
  <c r="E1946" i="2"/>
  <c r="F1946" i="2"/>
  <c r="H1946" i="2" s="1"/>
  <c r="B1946" i="2"/>
  <c r="F1970" i="2"/>
  <c r="H1970" i="2" s="1"/>
  <c r="E1970" i="2"/>
  <c r="B1970" i="2"/>
  <c r="A1970" i="2"/>
  <c r="F1994" i="2"/>
  <c r="H1994" i="2" s="1"/>
  <c r="E1994" i="2"/>
  <c r="B1994" i="2"/>
  <c r="A1994" i="2"/>
  <c r="B2082" i="2"/>
  <c r="A2082" i="2"/>
  <c r="F2082" i="2"/>
  <c r="H2082" i="2" s="1"/>
  <c r="E2082" i="2"/>
  <c r="B2124" i="2"/>
  <c r="E2124" i="2"/>
  <c r="A2124" i="2"/>
  <c r="F2124" i="2"/>
  <c r="H2124" i="2" s="1"/>
  <c r="B2092" i="2"/>
  <c r="E2092" i="2"/>
  <c r="F2092" i="2"/>
  <c r="H2092" i="2" s="1"/>
  <c r="A2092" i="2"/>
  <c r="B2136" i="2"/>
  <c r="E2136" i="2"/>
  <c r="A2136" i="2"/>
  <c r="F2136" i="2"/>
  <c r="H2136" i="2" s="1"/>
  <c r="B2139" i="2"/>
  <c r="F2139" i="2"/>
  <c r="H2139" i="2" s="1"/>
  <c r="E2139" i="2"/>
  <c r="A2139" i="2"/>
  <c r="B2108" i="2"/>
  <c r="F2108" i="2"/>
  <c r="H2108" i="2" s="1"/>
  <c r="E2108" i="2"/>
  <c r="A2108" i="2"/>
  <c r="F1879" i="2"/>
  <c r="H1879" i="2" s="1"/>
  <c r="B1879" i="2"/>
  <c r="A1879" i="2"/>
  <c r="E1879" i="2"/>
  <c r="F1903" i="2"/>
  <c r="H1903" i="2" s="1"/>
  <c r="E1903" i="2"/>
  <c r="B1903" i="2"/>
  <c r="A1903" i="2"/>
  <c r="F1927" i="2"/>
  <c r="H1927" i="2" s="1"/>
  <c r="B1927" i="2"/>
  <c r="E1927" i="2"/>
  <c r="A1927" i="2"/>
  <c r="F1951" i="2"/>
  <c r="H1951" i="2" s="1"/>
  <c r="E1951" i="2"/>
  <c r="B1951" i="2"/>
  <c r="A1951" i="2"/>
  <c r="F1975" i="2"/>
  <c r="H1975" i="2" s="1"/>
  <c r="E1975" i="2"/>
  <c r="B1975" i="2"/>
  <c r="A1975" i="2"/>
  <c r="F1999" i="2"/>
  <c r="H1999" i="2" s="1"/>
  <c r="E1999" i="2"/>
  <c r="B1999" i="2"/>
  <c r="A1999" i="2"/>
  <c r="B2125" i="2"/>
  <c r="F2125" i="2"/>
  <c r="H2125" i="2" s="1"/>
  <c r="E2125" i="2"/>
  <c r="A2125" i="2"/>
  <c r="F2394" i="2"/>
  <c r="H2394" i="2" s="1"/>
  <c r="B2394" i="2"/>
  <c r="A2394" i="2"/>
  <c r="E2394" i="2"/>
  <c r="B2121" i="2"/>
  <c r="F2121" i="2"/>
  <c r="H2121" i="2" s="1"/>
  <c r="E2121" i="2"/>
  <c r="A2121" i="2"/>
  <c r="E2258" i="2"/>
  <c r="A2258" i="2"/>
  <c r="F2258" i="2"/>
  <c r="H2258" i="2" s="1"/>
  <c r="B2258" i="2"/>
  <c r="A2218" i="2"/>
  <c r="F2218" i="2"/>
  <c r="H2218" i="2" s="1"/>
  <c r="E2218" i="2"/>
  <c r="B2218" i="2"/>
  <c r="E2619" i="2"/>
  <c r="A2619" i="2"/>
  <c r="F2619" i="2"/>
  <c r="H2619" i="2" s="1"/>
  <c r="B2619" i="2"/>
  <c r="F2593" i="2"/>
  <c r="H2593" i="2" s="1"/>
  <c r="B2593" i="2"/>
  <c r="E2593" i="2"/>
  <c r="A2593" i="2"/>
  <c r="B2263" i="2"/>
  <c r="F2263" i="2"/>
  <c r="H2263" i="2" s="1"/>
  <c r="A2263" i="2"/>
  <c r="E2263" i="2"/>
  <c r="A2174" i="2"/>
  <c r="E2174" i="2"/>
  <c r="B2174" i="2"/>
  <c r="F2174" i="2"/>
  <c r="H2174" i="2" s="1"/>
  <c r="E2326" i="2"/>
  <c r="A2326" i="2"/>
  <c r="F2326" i="2"/>
  <c r="H2326" i="2" s="1"/>
  <c r="B2326" i="2"/>
  <c r="F2589" i="2"/>
  <c r="H2589" i="2" s="1"/>
  <c r="E2589" i="2"/>
  <c r="A2589" i="2"/>
  <c r="B2589" i="2"/>
  <c r="F2323" i="2"/>
  <c r="H2323" i="2" s="1"/>
  <c r="A2323" i="2"/>
  <c r="E2323" i="2"/>
  <c r="B2323" i="2"/>
  <c r="F2261" i="2"/>
  <c r="H2261" i="2" s="1"/>
  <c r="E2261" i="2"/>
  <c r="B2261" i="2"/>
  <c r="A2261" i="2"/>
  <c r="E2686" i="2"/>
  <c r="A2686" i="2"/>
  <c r="F2686" i="2"/>
  <c r="H2686" i="2" s="1"/>
  <c r="B2686" i="2"/>
  <c r="F2183" i="2"/>
  <c r="H2183" i="2" s="1"/>
  <c r="E2183" i="2"/>
  <c r="B2183" i="2"/>
  <c r="A2183" i="2"/>
  <c r="E2207" i="2"/>
  <c r="B2207" i="2"/>
  <c r="F2207" i="2"/>
  <c r="H2207" i="2" s="1"/>
  <c r="A2207" i="2"/>
  <c r="E2238" i="2"/>
  <c r="A2238" i="2"/>
  <c r="F2238" i="2"/>
  <c r="H2238" i="2" s="1"/>
  <c r="B2238" i="2"/>
  <c r="F2372" i="2"/>
  <c r="H2372" i="2" s="1"/>
  <c r="E2372" i="2"/>
  <c r="A2372" i="2"/>
  <c r="B2372" i="2"/>
  <c r="F2671" i="2"/>
  <c r="H2671" i="2" s="1"/>
  <c r="B2671" i="2"/>
  <c r="A2671" i="2"/>
  <c r="E2671" i="2"/>
  <c r="B2500" i="2"/>
  <c r="F2500" i="2"/>
  <c r="H2500" i="2" s="1"/>
  <c r="E2500" i="2"/>
  <c r="A2500" i="2"/>
  <c r="E2302" i="2"/>
  <c r="A2302" i="2"/>
  <c r="F2302" i="2"/>
  <c r="H2302" i="2" s="1"/>
  <c r="B2302" i="2"/>
  <c r="E2607" i="2"/>
  <c r="A2607" i="2"/>
  <c r="F2607" i="2"/>
  <c r="H2607" i="2" s="1"/>
  <c r="B2607" i="2"/>
  <c r="F2534" i="2"/>
  <c r="H2534" i="2" s="1"/>
  <c r="A2534" i="2"/>
  <c r="E2534" i="2"/>
  <c r="B2534" i="2"/>
  <c r="F2548" i="2"/>
  <c r="H2548" i="2" s="1"/>
  <c r="A2548" i="2"/>
  <c r="B2548" i="2"/>
  <c r="E2548" i="2"/>
  <c r="F2400" i="2"/>
  <c r="H2400" i="2" s="1"/>
  <c r="E2400" i="2"/>
  <c r="B2400" i="2"/>
  <c r="A2400" i="2"/>
  <c r="E2582" i="2"/>
  <c r="B2582" i="2"/>
  <c r="A2582" i="2"/>
  <c r="F2582" i="2"/>
  <c r="H2582" i="2" s="1"/>
  <c r="B2523" i="2"/>
  <c r="E2523" i="2"/>
  <c r="F2523" i="2"/>
  <c r="H2523" i="2" s="1"/>
  <c r="A2523" i="2"/>
  <c r="E2268" i="2"/>
  <c r="B2268" i="2"/>
  <c r="A2268" i="2"/>
  <c r="F2268" i="2"/>
  <c r="H2268" i="2" s="1"/>
  <c r="F2536" i="2"/>
  <c r="H2536" i="2" s="1"/>
  <c r="B2536" i="2"/>
  <c r="E2536" i="2"/>
  <c r="A2536" i="2"/>
  <c r="F2535" i="2"/>
  <c r="H2535" i="2" s="1"/>
  <c r="A2535" i="2"/>
  <c r="B2535" i="2"/>
  <c r="E2535" i="2"/>
  <c r="F2544" i="2"/>
  <c r="H2544" i="2" s="1"/>
  <c r="B2544" i="2"/>
  <c r="A2544" i="2"/>
  <c r="E2544" i="2"/>
  <c r="F2509" i="2"/>
  <c r="H2509" i="2" s="1"/>
  <c r="B2509" i="2"/>
  <c r="A2509" i="2"/>
  <c r="E2509" i="2"/>
  <c r="F2646" i="2"/>
  <c r="H2646" i="2" s="1"/>
  <c r="B2646" i="2"/>
  <c r="E2646" i="2"/>
  <c r="A2646" i="2"/>
  <c r="F2351" i="2"/>
  <c r="H2351" i="2" s="1"/>
  <c r="B2351" i="2"/>
  <c r="E2351" i="2"/>
  <c r="A2351" i="2"/>
  <c r="E2375" i="2"/>
  <c r="B2375" i="2"/>
  <c r="F2375" i="2"/>
  <c r="H2375" i="2" s="1"/>
  <c r="A2375" i="2"/>
  <c r="E2399" i="2"/>
  <c r="B2399" i="2"/>
  <c r="F2399" i="2"/>
  <c r="H2399" i="2" s="1"/>
  <c r="A2399" i="2"/>
  <c r="E2423" i="2"/>
  <c r="B2423" i="2"/>
  <c r="A2423" i="2"/>
  <c r="F2423" i="2"/>
  <c r="H2423" i="2" s="1"/>
  <c r="E2447" i="2"/>
  <c r="B2447" i="2"/>
  <c r="F2447" i="2"/>
  <c r="H2447" i="2" s="1"/>
  <c r="A2447" i="2"/>
  <c r="E2471" i="2"/>
  <c r="B2471" i="2"/>
  <c r="F2471" i="2"/>
  <c r="H2471" i="2" s="1"/>
  <c r="A2471" i="2"/>
  <c r="E2495" i="2"/>
  <c r="B2495" i="2"/>
  <c r="F2495" i="2"/>
  <c r="H2495" i="2" s="1"/>
  <c r="A2495" i="2"/>
  <c r="B2594" i="2"/>
  <c r="E2594" i="2"/>
  <c r="A2594" i="2"/>
  <c r="F2594" i="2"/>
  <c r="H2594" i="2" s="1"/>
  <c r="F2604" i="2"/>
  <c r="H2604" i="2" s="1"/>
  <c r="E2604" i="2"/>
  <c r="A2604" i="2"/>
  <c r="B2604" i="2"/>
  <c r="E2576" i="2"/>
  <c r="B2576" i="2"/>
  <c r="A2576" i="2"/>
  <c r="F2576" i="2"/>
  <c r="H2576" i="2" s="1"/>
  <c r="E2720" i="2"/>
  <c r="B2720" i="2"/>
  <c r="A2720" i="2"/>
  <c r="F2720" i="2"/>
  <c r="H2720" i="2" s="1"/>
  <c r="A388" i="2"/>
  <c r="E388" i="2"/>
  <c r="B388" i="2"/>
  <c r="F388" i="2"/>
  <c r="H388" i="2" s="1"/>
  <c r="B763" i="2"/>
  <c r="A763" i="2"/>
  <c r="F763" i="2"/>
  <c r="H763" i="2" s="1"/>
  <c r="E763" i="2"/>
  <c r="B48" i="2"/>
  <c r="A48" i="2"/>
  <c r="F48" i="2"/>
  <c r="H48" i="2" s="1"/>
  <c r="E48" i="2"/>
  <c r="B457" i="2"/>
  <c r="A457" i="2"/>
  <c r="F457" i="2"/>
  <c r="H457" i="2" s="1"/>
  <c r="E457" i="2"/>
  <c r="F375" i="2"/>
  <c r="H375" i="2" s="1"/>
  <c r="E375" i="2"/>
  <c r="A375" i="2"/>
  <c r="B375" i="2"/>
  <c r="F291" i="2"/>
  <c r="H291" i="2" s="1"/>
  <c r="A291" i="2"/>
  <c r="E291" i="2"/>
  <c r="B291" i="2"/>
  <c r="A725" i="2"/>
  <c r="B725" i="2"/>
  <c r="F725" i="2"/>
  <c r="H725" i="2" s="1"/>
  <c r="E725" i="2"/>
  <c r="B647" i="2"/>
  <c r="A647" i="2"/>
  <c r="F647" i="2"/>
  <c r="H647" i="2" s="1"/>
  <c r="E647" i="2"/>
  <c r="F129" i="2"/>
  <c r="H129" i="2" s="1"/>
  <c r="A129" i="2"/>
  <c r="E129" i="2"/>
  <c r="B129" i="2"/>
  <c r="A340" i="2"/>
  <c r="E340" i="2"/>
  <c r="B340" i="2"/>
  <c r="F340" i="2"/>
  <c r="H340" i="2" s="1"/>
  <c r="F425" i="2"/>
  <c r="H425" i="2" s="1"/>
  <c r="E425" i="2"/>
  <c r="B425" i="2"/>
  <c r="A425" i="2"/>
  <c r="F97" i="2"/>
  <c r="H97" i="2" s="1"/>
  <c r="E97" i="2"/>
  <c r="B97" i="2"/>
  <c r="A97" i="2"/>
  <c r="F314" i="2"/>
  <c r="H314" i="2" s="1"/>
  <c r="E314" i="2"/>
  <c r="B314" i="2"/>
  <c r="A314" i="2"/>
  <c r="F191" i="2"/>
  <c r="H191" i="2" s="1"/>
  <c r="E191" i="2"/>
  <c r="B191" i="2"/>
  <c r="A191" i="2"/>
  <c r="F292" i="2"/>
  <c r="H292" i="2" s="1"/>
  <c r="E292" i="2"/>
  <c r="B292" i="2"/>
  <c r="A292" i="2"/>
  <c r="F336" i="2"/>
  <c r="H336" i="2" s="1"/>
  <c r="E336" i="2"/>
  <c r="B336" i="2"/>
  <c r="A336" i="2"/>
  <c r="E992" i="2"/>
  <c r="B992" i="2"/>
  <c r="F992" i="2"/>
  <c r="H992" i="2" s="1"/>
  <c r="A992" i="2"/>
  <c r="E872" i="2"/>
  <c r="B872" i="2"/>
  <c r="F872" i="2"/>
  <c r="H872" i="2" s="1"/>
  <c r="A872" i="2"/>
  <c r="A451" i="2"/>
  <c r="F451" i="2"/>
  <c r="H451" i="2" s="1"/>
  <c r="E451" i="2"/>
  <c r="B451" i="2"/>
  <c r="F471" i="2"/>
  <c r="H471" i="2" s="1"/>
  <c r="E471" i="2"/>
  <c r="B471" i="2"/>
  <c r="A471" i="2"/>
  <c r="F482" i="2"/>
  <c r="H482" i="2" s="1"/>
  <c r="E482" i="2"/>
  <c r="B482" i="2"/>
  <c r="A482" i="2"/>
  <c r="F502" i="2"/>
  <c r="H502" i="2" s="1"/>
  <c r="E502" i="2"/>
  <c r="B502" i="2"/>
  <c r="A502" i="2"/>
  <c r="E798" i="2"/>
  <c r="A798" i="2"/>
  <c r="F798" i="2"/>
  <c r="H798" i="2" s="1"/>
  <c r="B798" i="2"/>
  <c r="A979" i="2"/>
  <c r="E979" i="2"/>
  <c r="B979" i="2"/>
  <c r="F979" i="2"/>
  <c r="H979" i="2" s="1"/>
  <c r="A564" i="2"/>
  <c r="E564" i="2"/>
  <c r="B564" i="2"/>
  <c r="F564" i="2"/>
  <c r="H564" i="2" s="1"/>
  <c r="E660" i="2"/>
  <c r="B660" i="2"/>
  <c r="A660" i="2"/>
  <c r="F660" i="2"/>
  <c r="H660" i="2" s="1"/>
  <c r="F1045" i="2"/>
  <c r="H1045" i="2" s="1"/>
  <c r="E1045" i="2"/>
  <c r="A1045" i="2"/>
  <c r="B1045" i="2"/>
  <c r="E980" i="2"/>
  <c r="B980" i="2"/>
  <c r="F980" i="2"/>
  <c r="H980" i="2" s="1"/>
  <c r="A980" i="2"/>
  <c r="E780" i="2"/>
  <c r="F780" i="2"/>
  <c r="H780" i="2" s="1"/>
  <c r="B780" i="2"/>
  <c r="A780" i="2"/>
  <c r="E1018" i="2"/>
  <c r="B1018" i="2"/>
  <c r="F1018" i="2"/>
  <c r="H1018" i="2" s="1"/>
  <c r="A1018" i="2"/>
  <c r="F1287" i="2"/>
  <c r="H1287" i="2" s="1"/>
  <c r="E1287" i="2"/>
  <c r="B1287" i="2"/>
  <c r="A1287" i="2"/>
  <c r="E1408" i="2"/>
  <c r="A1408" i="2"/>
  <c r="F1408" i="2"/>
  <c r="H1408" i="2" s="1"/>
  <c r="B1408" i="2"/>
  <c r="F1181" i="2"/>
  <c r="H1181" i="2" s="1"/>
  <c r="E1181" i="2"/>
  <c r="B1181" i="2"/>
  <c r="A1181" i="2"/>
  <c r="E1857" i="2"/>
  <c r="F1857" i="2"/>
  <c r="H1857" i="2" s="1"/>
  <c r="A1857" i="2"/>
  <c r="B1857" i="2"/>
  <c r="F1333" i="2"/>
  <c r="H1333" i="2" s="1"/>
  <c r="E1333" i="2"/>
  <c r="B1333" i="2"/>
  <c r="A1333" i="2"/>
  <c r="A1082" i="2"/>
  <c r="F1082" i="2"/>
  <c r="H1082" i="2" s="1"/>
  <c r="E1082" i="2"/>
  <c r="B1082" i="2"/>
  <c r="F1178" i="2"/>
  <c r="H1178" i="2" s="1"/>
  <c r="B1178" i="2"/>
  <c r="E1178" i="2"/>
  <c r="A1178" i="2"/>
  <c r="F1226" i="2"/>
  <c r="H1226" i="2" s="1"/>
  <c r="B1226" i="2"/>
  <c r="E1226" i="2"/>
  <c r="A1226" i="2"/>
  <c r="F1560" i="2"/>
  <c r="H1560" i="2" s="1"/>
  <c r="E1560" i="2"/>
  <c r="A1560" i="2"/>
  <c r="B1560" i="2"/>
  <c r="E1358" i="2"/>
  <c r="B1358" i="2"/>
  <c r="F1358" i="2"/>
  <c r="H1358" i="2" s="1"/>
  <c r="A1358" i="2"/>
  <c r="E1478" i="2"/>
  <c r="F1478" i="2"/>
  <c r="H1478" i="2" s="1"/>
  <c r="B1478" i="2"/>
  <c r="A1478" i="2"/>
  <c r="A1435" i="2"/>
  <c r="E1435" i="2"/>
  <c r="F1435" i="2"/>
  <c r="H1435" i="2" s="1"/>
  <c r="B1435" i="2"/>
  <c r="F1562" i="2"/>
  <c r="H1562" i="2" s="1"/>
  <c r="E1562" i="2"/>
  <c r="B1562" i="2"/>
  <c r="A1562" i="2"/>
  <c r="E1855" i="2"/>
  <c r="A1855" i="2"/>
  <c r="F1855" i="2"/>
  <c r="H1855" i="2" s="1"/>
  <c r="B1855" i="2"/>
  <c r="F1583" i="2"/>
  <c r="H1583" i="2" s="1"/>
  <c r="E1583" i="2"/>
  <c r="B1583" i="2"/>
  <c r="A1583" i="2"/>
  <c r="A1713" i="2"/>
  <c r="F1713" i="2"/>
  <c r="H1713" i="2" s="1"/>
  <c r="E1713" i="2"/>
  <c r="B1713" i="2"/>
  <c r="F1792" i="2"/>
  <c r="H1792" i="2" s="1"/>
  <c r="E1792" i="2"/>
  <c r="B1792" i="2"/>
  <c r="A1792" i="2"/>
  <c r="F1830" i="2"/>
  <c r="H1830" i="2" s="1"/>
  <c r="E1830" i="2"/>
  <c r="B1830" i="2"/>
  <c r="A1830" i="2"/>
  <c r="B2123" i="2"/>
  <c r="F2123" i="2"/>
  <c r="H2123" i="2" s="1"/>
  <c r="E2123" i="2"/>
  <c r="A2123" i="2"/>
  <c r="B2132" i="2"/>
  <c r="F2132" i="2"/>
  <c r="H2132" i="2" s="1"/>
  <c r="E2132" i="2"/>
  <c r="A2132" i="2"/>
  <c r="E1956" i="2"/>
  <c r="A1956" i="2"/>
  <c r="F1956" i="2"/>
  <c r="H1956" i="2" s="1"/>
  <c r="B1956" i="2"/>
  <c r="A2230" i="2"/>
  <c r="B2230" i="2"/>
  <c r="E2230" i="2"/>
  <c r="F2230" i="2"/>
  <c r="H2230" i="2" s="1"/>
  <c r="A2208" i="2"/>
  <c r="B2208" i="2"/>
  <c r="F2208" i="2"/>
  <c r="H2208" i="2" s="1"/>
  <c r="E2208" i="2"/>
  <c r="B1937" i="2"/>
  <c r="F1937" i="2"/>
  <c r="H1937" i="2" s="1"/>
  <c r="E1937" i="2"/>
  <c r="A1937" i="2"/>
  <c r="A2220" i="2"/>
  <c r="B2220" i="2"/>
  <c r="F2220" i="2"/>
  <c r="H2220" i="2" s="1"/>
  <c r="E2220" i="2"/>
  <c r="E2297" i="2"/>
  <c r="B2297" i="2"/>
  <c r="A2297" i="2"/>
  <c r="F2297" i="2"/>
  <c r="H2297" i="2" s="1"/>
  <c r="A2214" i="2"/>
  <c r="B2214" i="2"/>
  <c r="F2214" i="2"/>
  <c r="H2214" i="2" s="1"/>
  <c r="E2214" i="2"/>
  <c r="B2169" i="2"/>
  <c r="A2169" i="2"/>
  <c r="F2169" i="2"/>
  <c r="H2169" i="2" s="1"/>
  <c r="E2169" i="2"/>
  <c r="E2496" i="2"/>
  <c r="B2496" i="2"/>
  <c r="A2496" i="2"/>
  <c r="F2496" i="2"/>
  <c r="H2496" i="2" s="1"/>
  <c r="F2376" i="2"/>
  <c r="H2376" i="2" s="1"/>
  <c r="E2376" i="2"/>
  <c r="B2376" i="2"/>
  <c r="A2376" i="2"/>
  <c r="F2472" i="2"/>
  <c r="H2472" i="2" s="1"/>
  <c r="E2472" i="2"/>
  <c r="B2472" i="2"/>
  <c r="A2472" i="2"/>
  <c r="E2412" i="2"/>
  <c r="B2412" i="2"/>
  <c r="A2412" i="2"/>
  <c r="F2412" i="2"/>
  <c r="H2412" i="2" s="1"/>
  <c r="F2562" i="2"/>
  <c r="H2562" i="2" s="1"/>
  <c r="B2562" i="2"/>
  <c r="E2562" i="2"/>
  <c r="A2562" i="2"/>
  <c r="E2409" i="2"/>
  <c r="F2409" i="2"/>
  <c r="H2409" i="2" s="1"/>
  <c r="B2409" i="2"/>
  <c r="A2409" i="2"/>
  <c r="E2481" i="2"/>
  <c r="F2481" i="2"/>
  <c r="H2481" i="2" s="1"/>
  <c r="B2481" i="2"/>
  <c r="A2481" i="2"/>
  <c r="E2662" i="2"/>
  <c r="F2662" i="2"/>
  <c r="H2662" i="2" s="1"/>
  <c r="B2662" i="2"/>
  <c r="A2662" i="2"/>
  <c r="A284" i="2"/>
  <c r="E284" i="2"/>
  <c r="B284" i="2"/>
  <c r="F284" i="2"/>
  <c r="H284" i="2" s="1"/>
  <c r="E120" i="2"/>
  <c r="B120" i="2"/>
  <c r="A120" i="2"/>
  <c r="F120" i="2"/>
  <c r="H120" i="2" s="1"/>
  <c r="F369" i="2"/>
  <c r="H369" i="2" s="1"/>
  <c r="E369" i="2"/>
  <c r="A369" i="2"/>
  <c r="B369" i="2"/>
  <c r="F493" i="2"/>
  <c r="H493" i="2" s="1"/>
  <c r="E493" i="2"/>
  <c r="B493" i="2"/>
  <c r="A493" i="2"/>
  <c r="F197" i="2"/>
  <c r="H197" i="2" s="1"/>
  <c r="A197" i="2"/>
  <c r="E197" i="2"/>
  <c r="B197" i="2"/>
  <c r="F133" i="2"/>
  <c r="H133" i="2" s="1"/>
  <c r="E133" i="2"/>
  <c r="B133" i="2"/>
  <c r="A133" i="2"/>
  <c r="F385" i="2"/>
  <c r="H385" i="2" s="1"/>
  <c r="E385" i="2"/>
  <c r="A385" i="2"/>
  <c r="B385" i="2"/>
  <c r="A418" i="2"/>
  <c r="E418" i="2"/>
  <c r="B418" i="2"/>
  <c r="F418" i="2"/>
  <c r="H418" i="2" s="1"/>
  <c r="F59" i="2"/>
  <c r="H59" i="2" s="1"/>
  <c r="E59" i="2"/>
  <c r="B59" i="2"/>
  <c r="A59" i="2"/>
  <c r="F121" i="2"/>
  <c r="H121" i="2" s="1"/>
  <c r="E121" i="2"/>
  <c r="B121" i="2"/>
  <c r="A121" i="2"/>
  <c r="F509" i="2"/>
  <c r="H509" i="2" s="1"/>
  <c r="E509" i="2"/>
  <c r="B509" i="2"/>
  <c r="A509" i="2"/>
  <c r="F119" i="2"/>
  <c r="H119" i="2" s="1"/>
  <c r="E119" i="2"/>
  <c r="B119" i="2"/>
  <c r="A119" i="2"/>
  <c r="F276" i="2"/>
  <c r="H276" i="2" s="1"/>
  <c r="E276" i="2"/>
  <c r="B276" i="2"/>
  <c r="A276" i="2"/>
  <c r="B70" i="2"/>
  <c r="A70" i="2"/>
  <c r="F70" i="2"/>
  <c r="H70" i="2" s="1"/>
  <c r="E70" i="2"/>
  <c r="A737" i="2"/>
  <c r="B737" i="2"/>
  <c r="F737" i="2"/>
  <c r="H737" i="2" s="1"/>
  <c r="E737" i="2"/>
  <c r="F170" i="2"/>
  <c r="H170" i="2" s="1"/>
  <c r="E170" i="2"/>
  <c r="B170" i="2"/>
  <c r="A170" i="2"/>
  <c r="F300" i="2"/>
  <c r="H300" i="2" s="1"/>
  <c r="E300" i="2"/>
  <c r="B300" i="2"/>
  <c r="A300" i="2"/>
  <c r="F350" i="2"/>
  <c r="H350" i="2" s="1"/>
  <c r="E350" i="2"/>
  <c r="B350" i="2"/>
  <c r="A350" i="2"/>
  <c r="F179" i="2"/>
  <c r="H179" i="2" s="1"/>
  <c r="B179" i="2"/>
  <c r="A179" i="2"/>
  <c r="E179" i="2"/>
  <c r="A455" i="2"/>
  <c r="E455" i="2"/>
  <c r="B455" i="2"/>
  <c r="F455" i="2"/>
  <c r="H455" i="2" s="1"/>
  <c r="B41" i="2"/>
  <c r="A41" i="2"/>
  <c r="F41" i="2"/>
  <c r="H41" i="2" s="1"/>
  <c r="E41" i="2"/>
  <c r="B65" i="2"/>
  <c r="A65" i="2"/>
  <c r="F65" i="2"/>
  <c r="H65" i="2" s="1"/>
  <c r="E65" i="2"/>
  <c r="B89" i="2"/>
  <c r="A89" i="2"/>
  <c r="F89" i="2"/>
  <c r="H89" i="2" s="1"/>
  <c r="E89" i="2"/>
  <c r="A184" i="2"/>
  <c r="E184" i="2"/>
  <c r="B184" i="2"/>
  <c r="F184" i="2"/>
  <c r="H184" i="2" s="1"/>
  <c r="B607" i="2"/>
  <c r="A607" i="2"/>
  <c r="F607" i="2"/>
  <c r="H607" i="2" s="1"/>
  <c r="E607" i="2"/>
  <c r="F158" i="2"/>
  <c r="H158" i="2" s="1"/>
  <c r="E158" i="2"/>
  <c r="B158" i="2"/>
  <c r="A158" i="2"/>
  <c r="F294" i="2"/>
  <c r="H294" i="2" s="1"/>
  <c r="E294" i="2"/>
  <c r="B294" i="2"/>
  <c r="A294" i="2"/>
  <c r="F346" i="2"/>
  <c r="H346" i="2" s="1"/>
  <c r="E346" i="2"/>
  <c r="B346" i="2"/>
  <c r="A346" i="2"/>
  <c r="F394" i="2"/>
  <c r="H394" i="2" s="1"/>
  <c r="E394" i="2"/>
  <c r="B394" i="2"/>
  <c r="A394" i="2"/>
  <c r="F143" i="2"/>
  <c r="H143" i="2" s="1"/>
  <c r="E143" i="2"/>
  <c r="B143" i="2"/>
  <c r="A143" i="2"/>
  <c r="A431" i="2"/>
  <c r="F431" i="2"/>
  <c r="H431" i="2" s="1"/>
  <c r="E431" i="2"/>
  <c r="B431" i="2"/>
  <c r="F106" i="2"/>
  <c r="H106" i="2" s="1"/>
  <c r="E106" i="2"/>
  <c r="B106" i="2"/>
  <c r="A106" i="2"/>
  <c r="F250" i="2"/>
  <c r="H250" i="2" s="1"/>
  <c r="E250" i="2"/>
  <c r="B250" i="2"/>
  <c r="A250" i="2"/>
  <c r="B567" i="2"/>
  <c r="A567" i="2"/>
  <c r="F567" i="2"/>
  <c r="H567" i="2" s="1"/>
  <c r="E567" i="2"/>
  <c r="F187" i="2"/>
  <c r="H187" i="2" s="1"/>
  <c r="E187" i="2"/>
  <c r="B187" i="2"/>
  <c r="A187" i="2"/>
  <c r="F320" i="2"/>
  <c r="H320" i="2" s="1"/>
  <c r="E320" i="2"/>
  <c r="B320" i="2"/>
  <c r="A320" i="2"/>
  <c r="F368" i="2"/>
  <c r="H368" i="2" s="1"/>
  <c r="E368" i="2"/>
  <c r="B368" i="2"/>
  <c r="A368" i="2"/>
  <c r="B470" i="2"/>
  <c r="A470" i="2"/>
  <c r="F470" i="2"/>
  <c r="H470" i="2" s="1"/>
  <c r="E470" i="2"/>
  <c r="F198" i="2"/>
  <c r="H198" i="2" s="1"/>
  <c r="E198" i="2"/>
  <c r="B198" i="2"/>
  <c r="A198" i="2"/>
  <c r="A479" i="2"/>
  <c r="E479" i="2"/>
  <c r="B479" i="2"/>
  <c r="F479" i="2"/>
  <c r="H479" i="2" s="1"/>
  <c r="E98" i="2"/>
  <c r="B98" i="2"/>
  <c r="A98" i="2"/>
  <c r="F98" i="2"/>
  <c r="H98" i="2" s="1"/>
  <c r="F231" i="2"/>
  <c r="H231" i="2" s="1"/>
  <c r="E231" i="2"/>
  <c r="B231" i="2"/>
  <c r="A231" i="2"/>
  <c r="B759" i="2"/>
  <c r="A759" i="2"/>
  <c r="F759" i="2"/>
  <c r="H759" i="2" s="1"/>
  <c r="E759" i="2"/>
  <c r="F747" i="2"/>
  <c r="H747" i="2" s="1"/>
  <c r="E747" i="2"/>
  <c r="B747" i="2"/>
  <c r="A747" i="2"/>
  <c r="E1000" i="2"/>
  <c r="B1000" i="2"/>
  <c r="F1000" i="2"/>
  <c r="H1000" i="2" s="1"/>
  <c r="A1000" i="2"/>
  <c r="E531" i="2"/>
  <c r="B531" i="2"/>
  <c r="A531" i="2"/>
  <c r="F531" i="2"/>
  <c r="H531" i="2" s="1"/>
  <c r="E641" i="2"/>
  <c r="B641" i="2"/>
  <c r="A641" i="2"/>
  <c r="F641" i="2"/>
  <c r="H641" i="2" s="1"/>
  <c r="B1271" i="2"/>
  <c r="A1271" i="2"/>
  <c r="F1271" i="2"/>
  <c r="H1271" i="2" s="1"/>
  <c r="E1271" i="2"/>
  <c r="A543" i="2"/>
  <c r="E543" i="2"/>
  <c r="B543" i="2"/>
  <c r="F543" i="2"/>
  <c r="H543" i="2" s="1"/>
  <c r="F497" i="2"/>
  <c r="H497" i="2" s="1"/>
  <c r="E497" i="2"/>
  <c r="B497" i="2"/>
  <c r="A497" i="2"/>
  <c r="B877" i="2"/>
  <c r="A877" i="2"/>
  <c r="F877" i="2"/>
  <c r="H877" i="2" s="1"/>
  <c r="E877" i="2"/>
  <c r="E423" i="2"/>
  <c r="F423" i="2"/>
  <c r="H423" i="2" s="1"/>
  <c r="B423" i="2"/>
  <c r="A423" i="2"/>
  <c r="F565" i="2"/>
  <c r="H565" i="2" s="1"/>
  <c r="E565" i="2"/>
  <c r="B565" i="2"/>
  <c r="A565" i="2"/>
  <c r="F661" i="2"/>
  <c r="H661" i="2" s="1"/>
  <c r="E661" i="2"/>
  <c r="B661" i="2"/>
  <c r="A661" i="2"/>
  <c r="F434" i="2"/>
  <c r="H434" i="2" s="1"/>
  <c r="B434" i="2"/>
  <c r="E434" i="2"/>
  <c r="A434" i="2"/>
  <c r="B835" i="2"/>
  <c r="A835" i="2"/>
  <c r="F835" i="2"/>
  <c r="H835" i="2" s="1"/>
  <c r="E835" i="2"/>
  <c r="F528" i="2"/>
  <c r="H528" i="2" s="1"/>
  <c r="E528" i="2"/>
  <c r="B528" i="2"/>
  <c r="A528" i="2"/>
  <c r="B901" i="2"/>
  <c r="A901" i="2"/>
  <c r="F901" i="2"/>
  <c r="H901" i="2" s="1"/>
  <c r="E901" i="2"/>
  <c r="F454" i="2"/>
  <c r="H454" i="2" s="1"/>
  <c r="E454" i="2"/>
  <c r="B454" i="2"/>
  <c r="A454" i="2"/>
  <c r="F603" i="2"/>
  <c r="H603" i="2" s="1"/>
  <c r="E603" i="2"/>
  <c r="B603" i="2"/>
  <c r="A603" i="2"/>
  <c r="F699" i="2"/>
  <c r="H699" i="2" s="1"/>
  <c r="E699" i="2"/>
  <c r="B699" i="2"/>
  <c r="A699" i="2"/>
  <c r="B1259" i="2"/>
  <c r="A1259" i="2"/>
  <c r="F1259" i="2"/>
  <c r="H1259" i="2" s="1"/>
  <c r="E1259" i="2"/>
  <c r="F561" i="2"/>
  <c r="H561" i="2" s="1"/>
  <c r="E561" i="2"/>
  <c r="B561" i="2"/>
  <c r="A561" i="2"/>
  <c r="B1171" i="2"/>
  <c r="A1171" i="2"/>
  <c r="F1171" i="2"/>
  <c r="H1171" i="2" s="1"/>
  <c r="E1171" i="2"/>
  <c r="F757" i="2"/>
  <c r="H757" i="2" s="1"/>
  <c r="E757" i="2"/>
  <c r="B757" i="2"/>
  <c r="A757" i="2"/>
  <c r="A867" i="2"/>
  <c r="F867" i="2"/>
  <c r="H867" i="2" s="1"/>
  <c r="E867" i="2"/>
  <c r="B867" i="2"/>
  <c r="A915" i="2"/>
  <c r="E915" i="2"/>
  <c r="B915" i="2"/>
  <c r="F915" i="2"/>
  <c r="H915" i="2" s="1"/>
  <c r="A963" i="2"/>
  <c r="F963" i="2"/>
  <c r="H963" i="2" s="1"/>
  <c r="E963" i="2"/>
  <c r="B963" i="2"/>
  <c r="A1011" i="2"/>
  <c r="E1011" i="2"/>
  <c r="B1011" i="2"/>
  <c r="F1011" i="2"/>
  <c r="H1011" i="2" s="1"/>
  <c r="F803" i="2"/>
  <c r="H803" i="2" s="1"/>
  <c r="E803" i="2"/>
  <c r="B803" i="2"/>
  <c r="A803" i="2"/>
  <c r="B1219" i="2"/>
  <c r="A1219" i="2"/>
  <c r="F1219" i="2"/>
  <c r="H1219" i="2" s="1"/>
  <c r="E1219" i="2"/>
  <c r="F556" i="2"/>
  <c r="H556" i="2" s="1"/>
  <c r="E556" i="2"/>
  <c r="B556" i="2"/>
  <c r="A556" i="2"/>
  <c r="E580" i="2"/>
  <c r="B580" i="2"/>
  <c r="A580" i="2"/>
  <c r="F580" i="2"/>
  <c r="H580" i="2" s="1"/>
  <c r="E604" i="2"/>
  <c r="B604" i="2"/>
  <c r="A604" i="2"/>
  <c r="F604" i="2"/>
  <c r="H604" i="2" s="1"/>
  <c r="E628" i="2"/>
  <c r="B628" i="2"/>
  <c r="A628" i="2"/>
  <c r="F628" i="2"/>
  <c r="H628" i="2" s="1"/>
  <c r="E652" i="2"/>
  <c r="B652" i="2"/>
  <c r="A652" i="2"/>
  <c r="F652" i="2"/>
  <c r="H652" i="2" s="1"/>
  <c r="E676" i="2"/>
  <c r="B676" i="2"/>
  <c r="A676" i="2"/>
  <c r="F676" i="2"/>
  <c r="H676" i="2" s="1"/>
  <c r="E700" i="2"/>
  <c r="B700" i="2"/>
  <c r="A700" i="2"/>
  <c r="F700" i="2"/>
  <c r="H700" i="2" s="1"/>
  <c r="E724" i="2"/>
  <c r="F724" i="2"/>
  <c r="H724" i="2" s="1"/>
  <c r="B724" i="2"/>
  <c r="A724" i="2"/>
  <c r="E788" i="2"/>
  <c r="F788" i="2"/>
  <c r="H788" i="2" s="1"/>
  <c r="B788" i="2"/>
  <c r="A788" i="2"/>
  <c r="E810" i="2"/>
  <c r="F810" i="2"/>
  <c r="H810" i="2" s="1"/>
  <c r="B810" i="2"/>
  <c r="A810" i="2"/>
  <c r="E868" i="2"/>
  <c r="B868" i="2"/>
  <c r="F868" i="2"/>
  <c r="H868" i="2" s="1"/>
  <c r="A868" i="2"/>
  <c r="E916" i="2"/>
  <c r="B916" i="2"/>
  <c r="F916" i="2"/>
  <c r="H916" i="2" s="1"/>
  <c r="A916" i="2"/>
  <c r="E964" i="2"/>
  <c r="B964" i="2"/>
  <c r="F964" i="2"/>
  <c r="H964" i="2" s="1"/>
  <c r="A964" i="2"/>
  <c r="E1012" i="2"/>
  <c r="B1012" i="2"/>
  <c r="F1012" i="2"/>
  <c r="H1012" i="2" s="1"/>
  <c r="A1012" i="2"/>
  <c r="F797" i="2"/>
  <c r="H797" i="2" s="1"/>
  <c r="E797" i="2"/>
  <c r="B797" i="2"/>
  <c r="A797" i="2"/>
  <c r="E806" i="2"/>
  <c r="F806" i="2"/>
  <c r="H806" i="2" s="1"/>
  <c r="B806" i="2"/>
  <c r="A806" i="2"/>
  <c r="A1453" i="2"/>
  <c r="B1453" i="2"/>
  <c r="F1453" i="2"/>
  <c r="H1453" i="2" s="1"/>
  <c r="E1453" i="2"/>
  <c r="E858" i="2"/>
  <c r="B858" i="2"/>
  <c r="F858" i="2"/>
  <c r="H858" i="2" s="1"/>
  <c r="A858" i="2"/>
  <c r="E906" i="2"/>
  <c r="B906" i="2"/>
  <c r="F906" i="2"/>
  <c r="H906" i="2" s="1"/>
  <c r="A906" i="2"/>
  <c r="E954" i="2"/>
  <c r="B954" i="2"/>
  <c r="F954" i="2"/>
  <c r="H954" i="2" s="1"/>
  <c r="A954" i="2"/>
  <c r="E1002" i="2"/>
  <c r="B1002" i="2"/>
  <c r="F1002" i="2"/>
  <c r="H1002" i="2" s="1"/>
  <c r="A1002" i="2"/>
  <c r="E1376" i="2"/>
  <c r="B1376" i="2"/>
  <c r="F1376" i="2"/>
  <c r="H1376" i="2" s="1"/>
  <c r="A1376" i="2"/>
  <c r="A1557" i="2"/>
  <c r="E1557" i="2"/>
  <c r="B1557" i="2"/>
  <c r="F1557" i="2"/>
  <c r="H1557" i="2" s="1"/>
  <c r="A1225" i="2"/>
  <c r="E1225" i="2"/>
  <c r="B1225" i="2"/>
  <c r="F1225" i="2"/>
  <c r="H1225" i="2" s="1"/>
  <c r="F1263" i="2"/>
  <c r="H1263" i="2" s="1"/>
  <c r="E1263" i="2"/>
  <c r="B1263" i="2"/>
  <c r="A1263" i="2"/>
  <c r="E1456" i="2"/>
  <c r="A1456" i="2"/>
  <c r="F1456" i="2"/>
  <c r="H1456" i="2" s="1"/>
  <c r="B1456" i="2"/>
  <c r="F1087" i="2"/>
  <c r="H1087" i="2" s="1"/>
  <c r="E1087" i="2"/>
  <c r="B1087" i="2"/>
  <c r="A1087" i="2"/>
  <c r="F1247" i="2"/>
  <c r="H1247" i="2" s="1"/>
  <c r="E1247" i="2"/>
  <c r="B1247" i="2"/>
  <c r="A1247" i="2"/>
  <c r="E1320" i="2"/>
  <c r="B1320" i="2"/>
  <c r="A1320" i="2"/>
  <c r="F1320" i="2"/>
  <c r="H1320" i="2" s="1"/>
  <c r="F1054" i="2"/>
  <c r="H1054" i="2" s="1"/>
  <c r="E1054" i="2"/>
  <c r="B1054" i="2"/>
  <c r="A1054" i="2"/>
  <c r="F1261" i="2"/>
  <c r="H1261" i="2" s="1"/>
  <c r="E1261" i="2"/>
  <c r="B1261" i="2"/>
  <c r="A1261" i="2"/>
  <c r="F1129" i="2"/>
  <c r="H1129" i="2" s="1"/>
  <c r="E1129" i="2"/>
  <c r="B1129" i="2"/>
  <c r="A1129" i="2"/>
  <c r="F1245" i="2"/>
  <c r="H1245" i="2" s="1"/>
  <c r="E1245" i="2"/>
  <c r="B1245" i="2"/>
  <c r="A1245" i="2"/>
  <c r="E1482" i="2"/>
  <c r="A1482" i="2"/>
  <c r="F1482" i="2"/>
  <c r="H1482" i="2" s="1"/>
  <c r="B1482" i="2"/>
  <c r="E1356" i="2"/>
  <c r="B1356" i="2"/>
  <c r="A1356" i="2"/>
  <c r="F1356" i="2"/>
  <c r="H1356" i="2" s="1"/>
  <c r="A1527" i="2"/>
  <c r="E1527" i="2"/>
  <c r="B1527" i="2"/>
  <c r="F1527" i="2"/>
  <c r="H1527" i="2" s="1"/>
  <c r="A1347" i="2"/>
  <c r="F1347" i="2"/>
  <c r="H1347" i="2" s="1"/>
  <c r="E1347" i="2"/>
  <c r="B1347" i="2"/>
  <c r="E1438" i="2"/>
  <c r="B1438" i="2"/>
  <c r="A1438" i="2"/>
  <c r="F1438" i="2"/>
  <c r="H1438" i="2" s="1"/>
  <c r="A1467" i="2"/>
  <c r="B1467" i="2"/>
  <c r="F1467" i="2"/>
  <c r="H1467" i="2" s="1"/>
  <c r="E1467" i="2"/>
  <c r="F1309" i="2"/>
  <c r="H1309" i="2" s="1"/>
  <c r="E1309" i="2"/>
  <c r="B1309" i="2"/>
  <c r="A1309" i="2"/>
  <c r="E1400" i="2"/>
  <c r="F1400" i="2"/>
  <c r="H1400" i="2" s="1"/>
  <c r="B1400" i="2"/>
  <c r="A1400" i="2"/>
  <c r="F1074" i="2"/>
  <c r="H1074" i="2" s="1"/>
  <c r="E1074" i="2"/>
  <c r="B1074" i="2"/>
  <c r="A1074" i="2"/>
  <c r="F1098" i="2"/>
  <c r="H1098" i="2" s="1"/>
  <c r="E1098" i="2"/>
  <c r="B1098" i="2"/>
  <c r="A1098" i="2"/>
  <c r="F1122" i="2"/>
  <c r="H1122" i="2" s="1"/>
  <c r="E1122" i="2"/>
  <c r="B1122" i="2"/>
  <c r="A1122" i="2"/>
  <c r="F1146" i="2"/>
  <c r="H1146" i="2" s="1"/>
  <c r="E1146" i="2"/>
  <c r="B1146" i="2"/>
  <c r="A1146" i="2"/>
  <c r="F1170" i="2"/>
  <c r="H1170" i="2" s="1"/>
  <c r="B1170" i="2"/>
  <c r="E1170" i="2"/>
  <c r="A1170" i="2"/>
  <c r="F1194" i="2"/>
  <c r="H1194" i="2" s="1"/>
  <c r="B1194" i="2"/>
  <c r="E1194" i="2"/>
  <c r="A1194" i="2"/>
  <c r="F1218" i="2"/>
  <c r="H1218" i="2" s="1"/>
  <c r="B1218" i="2"/>
  <c r="E1218" i="2"/>
  <c r="A1218" i="2"/>
  <c r="F1242" i="2"/>
  <c r="H1242" i="2" s="1"/>
  <c r="B1242" i="2"/>
  <c r="E1242" i="2"/>
  <c r="A1242" i="2"/>
  <c r="F1266" i="2"/>
  <c r="H1266" i="2" s="1"/>
  <c r="B1266" i="2"/>
  <c r="E1266" i="2"/>
  <c r="A1266" i="2"/>
  <c r="F1290" i="2"/>
  <c r="H1290" i="2" s="1"/>
  <c r="B1290" i="2"/>
  <c r="E1290" i="2"/>
  <c r="A1290" i="2"/>
  <c r="A1429" i="2"/>
  <c r="F1429" i="2"/>
  <c r="H1429" i="2" s="1"/>
  <c r="E1429" i="2"/>
  <c r="B1429" i="2"/>
  <c r="F1331" i="2"/>
  <c r="H1331" i="2" s="1"/>
  <c r="E1331" i="2"/>
  <c r="B1331" i="2"/>
  <c r="A1331" i="2"/>
  <c r="E1458" i="2"/>
  <c r="F1458" i="2"/>
  <c r="H1458" i="2" s="1"/>
  <c r="B1458" i="2"/>
  <c r="A1458" i="2"/>
  <c r="A1485" i="2"/>
  <c r="F1485" i="2"/>
  <c r="H1485" i="2" s="1"/>
  <c r="E1485" i="2"/>
  <c r="B1485" i="2"/>
  <c r="E1334" i="2"/>
  <c r="B1334" i="2"/>
  <c r="F1334" i="2"/>
  <c r="H1334" i="2" s="1"/>
  <c r="A1334" i="2"/>
  <c r="A1417" i="2"/>
  <c r="F1417" i="2"/>
  <c r="H1417" i="2" s="1"/>
  <c r="E1417" i="2"/>
  <c r="B1417" i="2"/>
  <c r="A1695" i="2"/>
  <c r="F1695" i="2"/>
  <c r="H1695" i="2" s="1"/>
  <c r="E1695" i="2"/>
  <c r="B1695" i="2"/>
  <c r="A1437" i="2"/>
  <c r="E1437" i="2"/>
  <c r="B1437" i="2"/>
  <c r="F1437" i="2"/>
  <c r="H1437" i="2" s="1"/>
  <c r="F1522" i="2"/>
  <c r="H1522" i="2" s="1"/>
  <c r="E1522" i="2"/>
  <c r="B1522" i="2"/>
  <c r="A1522" i="2"/>
  <c r="F1558" i="2"/>
  <c r="H1558" i="2" s="1"/>
  <c r="E1558" i="2"/>
  <c r="B1558" i="2"/>
  <c r="A1558" i="2"/>
  <c r="F1623" i="2"/>
  <c r="H1623" i="2" s="1"/>
  <c r="E1623" i="2"/>
  <c r="B1623" i="2"/>
  <c r="A1623" i="2"/>
  <c r="F1862" i="2"/>
  <c r="H1862" i="2" s="1"/>
  <c r="B1862" i="2"/>
  <c r="E1862" i="2"/>
  <c r="A1862" i="2"/>
  <c r="F1813" i="2"/>
  <c r="H1813" i="2" s="1"/>
  <c r="E1813" i="2"/>
  <c r="B1813" i="2"/>
  <c r="A1813" i="2"/>
  <c r="E1508" i="2"/>
  <c r="F1508" i="2"/>
  <c r="H1508" i="2" s="1"/>
  <c r="A1508" i="2"/>
  <c r="B1508" i="2"/>
  <c r="F1514" i="2"/>
  <c r="H1514" i="2" s="1"/>
  <c r="E1514" i="2"/>
  <c r="B1514" i="2"/>
  <c r="A1514" i="2"/>
  <c r="F1550" i="2"/>
  <c r="H1550" i="2" s="1"/>
  <c r="E1550" i="2"/>
  <c r="B1550" i="2"/>
  <c r="A1550" i="2"/>
  <c r="F1661" i="2"/>
  <c r="H1661" i="2" s="1"/>
  <c r="E1661" i="2"/>
  <c r="B1661" i="2"/>
  <c r="A1661" i="2"/>
  <c r="A1628" i="2"/>
  <c r="F1628" i="2"/>
  <c r="H1628" i="2" s="1"/>
  <c r="E1628" i="2"/>
  <c r="B1628" i="2"/>
  <c r="F1598" i="2"/>
  <c r="H1598" i="2" s="1"/>
  <c r="E1598" i="2"/>
  <c r="B1598" i="2"/>
  <c r="A1598" i="2"/>
  <c r="A1747" i="2"/>
  <c r="F1747" i="2"/>
  <c r="H1747" i="2" s="1"/>
  <c r="E1747" i="2"/>
  <c r="B1747" i="2"/>
  <c r="F1793" i="2"/>
  <c r="H1793" i="2" s="1"/>
  <c r="E1793" i="2"/>
  <c r="A1793" i="2"/>
  <c r="B1793" i="2"/>
  <c r="A1753" i="2"/>
  <c r="F1753" i="2"/>
  <c r="H1753" i="2" s="1"/>
  <c r="E1753" i="2"/>
  <c r="B1753" i="2"/>
  <c r="B1633" i="2"/>
  <c r="A1633" i="2"/>
  <c r="F1633" i="2"/>
  <c r="H1633" i="2" s="1"/>
  <c r="E1633" i="2"/>
  <c r="F1805" i="2"/>
  <c r="H1805" i="2" s="1"/>
  <c r="E1805" i="2"/>
  <c r="B1805" i="2"/>
  <c r="A1805" i="2"/>
  <c r="F1679" i="2"/>
  <c r="H1679" i="2" s="1"/>
  <c r="E1679" i="2"/>
  <c r="B1679" i="2"/>
  <c r="A1679" i="2"/>
  <c r="F1605" i="2"/>
  <c r="H1605" i="2" s="1"/>
  <c r="E1605" i="2"/>
  <c r="B1605" i="2"/>
  <c r="A1605" i="2"/>
  <c r="F1744" i="2"/>
  <c r="H1744" i="2" s="1"/>
  <c r="E1744" i="2"/>
  <c r="B1744" i="2"/>
  <c r="A1744" i="2"/>
  <c r="F1662" i="2"/>
  <c r="H1662" i="2" s="1"/>
  <c r="E1662" i="2"/>
  <c r="B1662" i="2"/>
  <c r="A1662" i="2"/>
  <c r="E1831" i="2"/>
  <c r="A1831" i="2"/>
  <c r="F1831" i="2"/>
  <c r="H1831" i="2" s="1"/>
  <c r="B1831" i="2"/>
  <c r="F1682" i="2"/>
  <c r="H1682" i="2" s="1"/>
  <c r="E1682" i="2"/>
  <c r="B1682" i="2"/>
  <c r="A1682" i="2"/>
  <c r="E1843" i="2"/>
  <c r="A1843" i="2"/>
  <c r="F1843" i="2"/>
  <c r="H1843" i="2" s="1"/>
  <c r="B1843" i="2"/>
  <c r="F1784" i="2"/>
  <c r="H1784" i="2" s="1"/>
  <c r="E1784" i="2"/>
  <c r="B1784" i="2"/>
  <c r="A1784" i="2"/>
  <c r="A1808" i="2"/>
  <c r="F1808" i="2"/>
  <c r="H1808" i="2" s="1"/>
  <c r="E1808" i="2"/>
  <c r="B1808" i="2"/>
  <c r="F1834" i="2"/>
  <c r="H1834" i="2" s="1"/>
  <c r="E1834" i="2"/>
  <c r="A1834" i="2"/>
  <c r="B1834" i="2"/>
  <c r="E1863" i="2"/>
  <c r="F1863" i="2"/>
  <c r="H1863" i="2" s="1"/>
  <c r="B1863" i="2"/>
  <c r="A1863" i="2"/>
  <c r="E1861" i="2"/>
  <c r="F1861" i="2"/>
  <c r="H1861" i="2" s="1"/>
  <c r="B1861" i="2"/>
  <c r="A1861" i="2"/>
  <c r="B2038" i="2"/>
  <c r="E2038" i="2"/>
  <c r="F2038" i="2"/>
  <c r="H2038" i="2" s="1"/>
  <c r="A2038" i="2"/>
  <c r="B2053" i="2"/>
  <c r="E2053" i="2"/>
  <c r="A2053" i="2"/>
  <c r="F2053" i="2"/>
  <c r="H2053" i="2" s="1"/>
  <c r="B2106" i="2"/>
  <c r="E2106" i="2"/>
  <c r="A2106" i="2"/>
  <c r="F2106" i="2"/>
  <c r="H2106" i="2" s="1"/>
  <c r="B2039" i="2"/>
  <c r="F2039" i="2"/>
  <c r="H2039" i="2" s="1"/>
  <c r="E2039" i="2"/>
  <c r="A2039" i="2"/>
  <c r="B2075" i="2"/>
  <c r="F2075" i="2"/>
  <c r="H2075" i="2" s="1"/>
  <c r="E2075" i="2"/>
  <c r="A2075" i="2"/>
  <c r="B2031" i="2"/>
  <c r="A2031" i="2"/>
  <c r="F2031" i="2"/>
  <c r="H2031" i="2" s="1"/>
  <c r="E2031" i="2"/>
  <c r="B2043" i="2"/>
  <c r="A2043" i="2"/>
  <c r="F2043" i="2"/>
  <c r="H2043" i="2" s="1"/>
  <c r="E2043" i="2"/>
  <c r="A2448" i="2"/>
  <c r="E2448" i="2"/>
  <c r="F2448" i="2"/>
  <c r="H2448" i="2" s="1"/>
  <c r="B2448" i="2"/>
  <c r="E2494" i="2"/>
  <c r="A2494" i="2"/>
  <c r="B2494" i="2"/>
  <c r="F2494" i="2"/>
  <c r="H2494" i="2" s="1"/>
  <c r="B1900" i="2"/>
  <c r="F1900" i="2"/>
  <c r="H1900" i="2" s="1"/>
  <c r="E1900" i="2"/>
  <c r="A1900" i="2"/>
  <c r="B1924" i="2"/>
  <c r="A1924" i="2"/>
  <c r="F1924" i="2"/>
  <c r="H1924" i="2" s="1"/>
  <c r="E1924" i="2"/>
  <c r="B1948" i="2"/>
  <c r="A1948" i="2"/>
  <c r="F1948" i="2"/>
  <c r="H1948" i="2" s="1"/>
  <c r="E1948" i="2"/>
  <c r="F1972" i="2"/>
  <c r="H1972" i="2" s="1"/>
  <c r="B1972" i="2"/>
  <c r="A1972" i="2"/>
  <c r="E1972" i="2"/>
  <c r="F1996" i="2"/>
  <c r="H1996" i="2" s="1"/>
  <c r="E1996" i="2"/>
  <c r="B1996" i="2"/>
  <c r="A1996" i="2"/>
  <c r="B2094" i="2"/>
  <c r="E2094" i="2"/>
  <c r="F2094" i="2"/>
  <c r="H2094" i="2" s="1"/>
  <c r="A2094" i="2"/>
  <c r="A2154" i="2"/>
  <c r="E2154" i="2"/>
  <c r="B2154" i="2"/>
  <c r="F2154" i="2"/>
  <c r="H2154" i="2" s="1"/>
  <c r="B2110" i="2"/>
  <c r="F2110" i="2"/>
  <c r="H2110" i="2" s="1"/>
  <c r="E2110" i="2"/>
  <c r="A2110" i="2"/>
  <c r="A2184" i="2"/>
  <c r="B2184" i="2"/>
  <c r="F2184" i="2"/>
  <c r="H2184" i="2" s="1"/>
  <c r="E2184" i="2"/>
  <c r="A2142" i="2"/>
  <c r="E2142" i="2"/>
  <c r="F2142" i="2"/>
  <c r="H2142" i="2" s="1"/>
  <c r="B2142" i="2"/>
  <c r="B2116" i="2"/>
  <c r="F2116" i="2"/>
  <c r="H2116" i="2" s="1"/>
  <c r="E2116" i="2"/>
  <c r="A2116" i="2"/>
  <c r="A1881" i="2"/>
  <c r="F1881" i="2"/>
  <c r="H1881" i="2" s="1"/>
  <c r="E1881" i="2"/>
  <c r="B1881" i="2"/>
  <c r="A1905" i="2"/>
  <c r="B1905" i="2"/>
  <c r="F1905" i="2"/>
  <c r="H1905" i="2" s="1"/>
  <c r="E1905" i="2"/>
  <c r="A1929" i="2"/>
  <c r="F1929" i="2"/>
  <c r="H1929" i="2" s="1"/>
  <c r="E1929" i="2"/>
  <c r="B1929" i="2"/>
  <c r="A1953" i="2"/>
  <c r="F1953" i="2"/>
  <c r="H1953" i="2" s="1"/>
  <c r="E1953" i="2"/>
  <c r="B1953" i="2"/>
  <c r="F1977" i="2"/>
  <c r="H1977" i="2" s="1"/>
  <c r="E1977" i="2"/>
  <c r="B1977" i="2"/>
  <c r="A1977" i="2"/>
  <c r="F2001" i="2"/>
  <c r="H2001" i="2" s="1"/>
  <c r="E2001" i="2"/>
  <c r="B2001" i="2"/>
  <c r="A2001" i="2"/>
  <c r="B2131" i="2"/>
  <c r="F2131" i="2"/>
  <c r="H2131" i="2" s="1"/>
  <c r="E2131" i="2"/>
  <c r="A2131" i="2"/>
  <c r="F2578" i="2"/>
  <c r="H2578" i="2" s="1"/>
  <c r="E2578" i="2"/>
  <c r="B2578" i="2"/>
  <c r="A2578" i="2"/>
  <c r="B2133" i="2"/>
  <c r="F2133" i="2"/>
  <c r="H2133" i="2" s="1"/>
  <c r="E2133" i="2"/>
  <c r="A2133" i="2"/>
  <c r="F2565" i="2"/>
  <c r="H2565" i="2" s="1"/>
  <c r="E2565" i="2"/>
  <c r="B2565" i="2"/>
  <c r="A2565" i="2"/>
  <c r="A2226" i="2"/>
  <c r="F2226" i="2"/>
  <c r="H2226" i="2" s="1"/>
  <c r="E2226" i="2"/>
  <c r="B2226" i="2"/>
  <c r="E2679" i="2"/>
  <c r="A2679" i="2"/>
  <c r="B2679" i="2"/>
  <c r="F2679" i="2"/>
  <c r="H2679" i="2" s="1"/>
  <c r="B2660" i="2"/>
  <c r="E2660" i="2"/>
  <c r="F2660" i="2"/>
  <c r="H2660" i="2" s="1"/>
  <c r="A2660" i="2"/>
  <c r="F2267" i="2"/>
  <c r="H2267" i="2" s="1"/>
  <c r="E2267" i="2"/>
  <c r="B2267" i="2"/>
  <c r="A2267" i="2"/>
  <c r="A2182" i="2"/>
  <c r="B2182" i="2"/>
  <c r="E2182" i="2"/>
  <c r="F2182" i="2"/>
  <c r="H2182" i="2" s="1"/>
  <c r="F2502" i="2"/>
  <c r="H2502" i="2" s="1"/>
  <c r="B2502" i="2"/>
  <c r="A2502" i="2"/>
  <c r="E2502" i="2"/>
  <c r="F2694" i="2"/>
  <c r="H2694" i="2" s="1"/>
  <c r="B2694" i="2"/>
  <c r="A2694" i="2"/>
  <c r="E2694" i="2"/>
  <c r="F2331" i="2"/>
  <c r="H2331" i="2" s="1"/>
  <c r="A2331" i="2"/>
  <c r="E2331" i="2"/>
  <c r="B2331" i="2"/>
  <c r="E2284" i="2"/>
  <c r="A2284" i="2"/>
  <c r="F2284" i="2"/>
  <c r="H2284" i="2" s="1"/>
  <c r="B2284" i="2"/>
  <c r="B2161" i="2"/>
  <c r="F2161" i="2"/>
  <c r="H2161" i="2" s="1"/>
  <c r="E2161" i="2"/>
  <c r="A2161" i="2"/>
  <c r="B2185" i="2"/>
  <c r="A2185" i="2"/>
  <c r="F2185" i="2"/>
  <c r="H2185" i="2" s="1"/>
  <c r="E2185" i="2"/>
  <c r="B2209" i="2"/>
  <c r="E2209" i="2"/>
  <c r="A2209" i="2"/>
  <c r="F2209" i="2"/>
  <c r="H2209" i="2" s="1"/>
  <c r="A2245" i="2"/>
  <c r="B2245" i="2"/>
  <c r="F2245" i="2"/>
  <c r="H2245" i="2" s="1"/>
  <c r="E2245" i="2"/>
  <c r="F2396" i="2"/>
  <c r="H2396" i="2" s="1"/>
  <c r="B2396" i="2"/>
  <c r="A2396" i="2"/>
  <c r="E2396" i="2"/>
  <c r="E2250" i="2"/>
  <c r="F2250" i="2"/>
  <c r="H2250" i="2" s="1"/>
  <c r="A2250" i="2"/>
  <c r="B2250" i="2"/>
  <c r="F2537" i="2"/>
  <c r="H2537" i="2" s="1"/>
  <c r="E2537" i="2"/>
  <c r="B2537" i="2"/>
  <c r="A2537" i="2"/>
  <c r="F2313" i="2"/>
  <c r="H2313" i="2" s="1"/>
  <c r="E2313" i="2"/>
  <c r="B2313" i="2"/>
  <c r="A2313" i="2"/>
  <c r="F2622" i="2"/>
  <c r="H2622" i="2" s="1"/>
  <c r="B2622" i="2"/>
  <c r="E2622" i="2"/>
  <c r="A2622" i="2"/>
  <c r="E2543" i="2"/>
  <c r="A2543" i="2"/>
  <c r="B2543" i="2"/>
  <c r="F2543" i="2"/>
  <c r="H2543" i="2" s="1"/>
  <c r="E2583" i="2"/>
  <c r="A2583" i="2"/>
  <c r="F2583" i="2"/>
  <c r="H2583" i="2" s="1"/>
  <c r="B2583" i="2"/>
  <c r="F2406" i="2"/>
  <c r="H2406" i="2" s="1"/>
  <c r="B2406" i="2"/>
  <c r="E2406" i="2"/>
  <c r="A2406" i="2"/>
  <c r="F2601" i="2"/>
  <c r="H2601" i="2" s="1"/>
  <c r="E2601" i="2"/>
  <c r="B2601" i="2"/>
  <c r="A2601" i="2"/>
  <c r="F2526" i="2"/>
  <c r="H2526" i="2" s="1"/>
  <c r="E2526" i="2"/>
  <c r="A2526" i="2"/>
  <c r="B2526" i="2"/>
  <c r="F2281" i="2"/>
  <c r="H2281" i="2" s="1"/>
  <c r="E2281" i="2"/>
  <c r="B2281" i="2"/>
  <c r="A2281" i="2"/>
  <c r="B2539" i="2"/>
  <c r="F2539" i="2"/>
  <c r="H2539" i="2" s="1"/>
  <c r="E2539" i="2"/>
  <c r="A2539" i="2"/>
  <c r="F2538" i="2"/>
  <c r="H2538" i="2" s="1"/>
  <c r="E2538" i="2"/>
  <c r="A2538" i="2"/>
  <c r="B2538" i="2"/>
  <c r="F2550" i="2"/>
  <c r="H2550" i="2" s="1"/>
  <c r="E2550" i="2"/>
  <c r="A2550" i="2"/>
  <c r="B2550" i="2"/>
  <c r="F2520" i="2"/>
  <c r="H2520" i="2" s="1"/>
  <c r="E2520" i="2"/>
  <c r="A2520" i="2"/>
  <c r="B2520" i="2"/>
  <c r="A2693" i="2"/>
  <c r="F2693" i="2"/>
  <c r="H2693" i="2" s="1"/>
  <c r="E2693" i="2"/>
  <c r="B2693" i="2"/>
  <c r="E2353" i="2"/>
  <c r="F2353" i="2"/>
  <c r="H2353" i="2" s="1"/>
  <c r="B2353" i="2"/>
  <c r="A2353" i="2"/>
  <c r="E2377" i="2"/>
  <c r="B2377" i="2"/>
  <c r="F2377" i="2"/>
  <c r="H2377" i="2" s="1"/>
  <c r="A2377" i="2"/>
  <c r="E2401" i="2"/>
  <c r="B2401" i="2"/>
  <c r="A2401" i="2"/>
  <c r="F2401" i="2"/>
  <c r="H2401" i="2" s="1"/>
  <c r="E2425" i="2"/>
  <c r="B2425" i="2"/>
  <c r="A2425" i="2"/>
  <c r="F2425" i="2"/>
  <c r="H2425" i="2" s="1"/>
  <c r="E2449" i="2"/>
  <c r="B2449" i="2"/>
  <c r="F2449" i="2"/>
  <c r="H2449" i="2" s="1"/>
  <c r="A2449" i="2"/>
  <c r="E2473" i="2"/>
  <c r="B2473" i="2"/>
  <c r="A2473" i="2"/>
  <c r="F2473" i="2"/>
  <c r="H2473" i="2" s="1"/>
  <c r="E2497" i="2"/>
  <c r="B2497" i="2"/>
  <c r="F2497" i="2"/>
  <c r="H2497" i="2" s="1"/>
  <c r="A2497" i="2"/>
  <c r="E2641" i="2"/>
  <c r="B2641" i="2"/>
  <c r="F2641" i="2"/>
  <c r="H2641" i="2" s="1"/>
  <c r="A2641" i="2"/>
  <c r="F2615" i="2"/>
  <c r="H2615" i="2" s="1"/>
  <c r="B2615" i="2"/>
  <c r="E2615" i="2"/>
  <c r="A2615" i="2"/>
  <c r="E2587" i="2"/>
  <c r="F2587" i="2"/>
  <c r="H2587" i="2" s="1"/>
  <c r="B2587" i="2"/>
  <c r="A2587" i="2"/>
  <c r="F367" i="2"/>
  <c r="H367" i="2" s="1"/>
  <c r="E367" i="2"/>
  <c r="A367" i="2"/>
  <c r="B367" i="2"/>
  <c r="B711" i="2"/>
  <c r="A711" i="2"/>
  <c r="F711" i="2"/>
  <c r="H711" i="2" s="1"/>
  <c r="E711" i="2"/>
  <c r="B40" i="2"/>
  <c r="A40" i="2"/>
  <c r="F40" i="2"/>
  <c r="H40" i="2" s="1"/>
  <c r="E40" i="2"/>
  <c r="A372" i="2"/>
  <c r="E372" i="2"/>
  <c r="B372" i="2"/>
  <c r="F372" i="2"/>
  <c r="H372" i="2" s="1"/>
  <c r="A364" i="2"/>
  <c r="E364" i="2"/>
  <c r="B364" i="2"/>
  <c r="F364" i="2"/>
  <c r="H364" i="2" s="1"/>
  <c r="F273" i="2"/>
  <c r="H273" i="2" s="1"/>
  <c r="A273" i="2"/>
  <c r="E273" i="2"/>
  <c r="B273" i="2"/>
  <c r="B518" i="2"/>
  <c r="A518" i="2"/>
  <c r="F518" i="2"/>
  <c r="H518" i="2" s="1"/>
  <c r="E518" i="2"/>
  <c r="F201" i="2"/>
  <c r="H201" i="2" s="1"/>
  <c r="A201" i="2"/>
  <c r="E201" i="2"/>
  <c r="B201" i="2"/>
  <c r="F318" i="2"/>
  <c r="H318" i="2" s="1"/>
  <c r="E318" i="2"/>
  <c r="B318" i="2"/>
  <c r="A318" i="2"/>
  <c r="F206" i="2"/>
  <c r="H206" i="2" s="1"/>
  <c r="E206" i="2"/>
  <c r="B206" i="2"/>
  <c r="A206" i="2"/>
  <c r="F102" i="2"/>
  <c r="H102" i="2" s="1"/>
  <c r="E102" i="2"/>
  <c r="B102" i="2"/>
  <c r="A102" i="2"/>
  <c r="F279" i="2"/>
  <c r="H279" i="2" s="1"/>
  <c r="E279" i="2"/>
  <c r="B279" i="2"/>
  <c r="A279" i="2"/>
  <c r="E577" i="2"/>
  <c r="B577" i="2"/>
  <c r="A577" i="2"/>
  <c r="F577" i="2"/>
  <c r="H577" i="2" s="1"/>
  <c r="A717" i="2"/>
  <c r="F717" i="2"/>
  <c r="H717" i="2" s="1"/>
  <c r="E717" i="2"/>
  <c r="B717" i="2"/>
  <c r="F597" i="2"/>
  <c r="H597" i="2" s="1"/>
  <c r="E597" i="2"/>
  <c r="B597" i="2"/>
  <c r="A597" i="2"/>
  <c r="E742" i="2"/>
  <c r="F742" i="2"/>
  <c r="H742" i="2" s="1"/>
  <c r="B742" i="2"/>
  <c r="A742" i="2"/>
  <c r="F635" i="2"/>
  <c r="H635" i="2" s="1"/>
  <c r="E635" i="2"/>
  <c r="B635" i="2"/>
  <c r="A635" i="2"/>
  <c r="A1463" i="2"/>
  <c r="B1463" i="2"/>
  <c r="F1463" i="2"/>
  <c r="H1463" i="2" s="1"/>
  <c r="E1463" i="2"/>
  <c r="A883" i="2"/>
  <c r="E883" i="2"/>
  <c r="B883" i="2"/>
  <c r="F883" i="2"/>
  <c r="H883" i="2" s="1"/>
  <c r="F833" i="2"/>
  <c r="H833" i="2" s="1"/>
  <c r="E833" i="2"/>
  <c r="A833" i="2"/>
  <c r="B833" i="2"/>
  <c r="E612" i="2"/>
  <c r="B612" i="2"/>
  <c r="A612" i="2"/>
  <c r="F612" i="2"/>
  <c r="H612" i="2" s="1"/>
  <c r="E708" i="2"/>
  <c r="B708" i="2"/>
  <c r="A708" i="2"/>
  <c r="F708" i="2"/>
  <c r="H708" i="2" s="1"/>
  <c r="E884" i="2"/>
  <c r="B884" i="2"/>
  <c r="F884" i="2"/>
  <c r="H884" i="2" s="1"/>
  <c r="A884" i="2"/>
  <c r="B1211" i="2"/>
  <c r="A1211" i="2"/>
  <c r="F1211" i="2"/>
  <c r="H1211" i="2" s="1"/>
  <c r="E1211" i="2"/>
  <c r="E922" i="2"/>
  <c r="B922" i="2"/>
  <c r="F922" i="2"/>
  <c r="H922" i="2" s="1"/>
  <c r="A922" i="2"/>
  <c r="A1157" i="2"/>
  <c r="F1157" i="2"/>
  <c r="H1157" i="2" s="1"/>
  <c r="E1157" i="2"/>
  <c r="B1157" i="2"/>
  <c r="F1183" i="2"/>
  <c r="H1183" i="2" s="1"/>
  <c r="E1183" i="2"/>
  <c r="B1183" i="2"/>
  <c r="A1183" i="2"/>
  <c r="F1285" i="2"/>
  <c r="H1285" i="2" s="1"/>
  <c r="E1285" i="2"/>
  <c r="B1285" i="2"/>
  <c r="A1285" i="2"/>
  <c r="F1548" i="2"/>
  <c r="H1548" i="2" s="1"/>
  <c r="E1548" i="2"/>
  <c r="A1548" i="2"/>
  <c r="B1548" i="2"/>
  <c r="A1371" i="2"/>
  <c r="F1371" i="2"/>
  <c r="H1371" i="2" s="1"/>
  <c r="E1371" i="2"/>
  <c r="B1371" i="2"/>
  <c r="A1451" i="2"/>
  <c r="F1451" i="2"/>
  <c r="H1451" i="2" s="1"/>
  <c r="E1451" i="2"/>
  <c r="B1451" i="2"/>
  <c r="F1154" i="2"/>
  <c r="H1154" i="2" s="1"/>
  <c r="A1154" i="2"/>
  <c r="E1154" i="2"/>
  <c r="B1154" i="2"/>
  <c r="F1274" i="2"/>
  <c r="H1274" i="2" s="1"/>
  <c r="B1274" i="2"/>
  <c r="E1274" i="2"/>
  <c r="A1274" i="2"/>
  <c r="F1355" i="2"/>
  <c r="H1355" i="2" s="1"/>
  <c r="E1355" i="2"/>
  <c r="B1355" i="2"/>
  <c r="A1355" i="2"/>
  <c r="E1468" i="2"/>
  <c r="F1468" i="2"/>
  <c r="H1468" i="2" s="1"/>
  <c r="B1468" i="2"/>
  <c r="A1468" i="2"/>
  <c r="A1580" i="2"/>
  <c r="F1580" i="2"/>
  <c r="H1580" i="2" s="1"/>
  <c r="E1580" i="2"/>
  <c r="B1580" i="2"/>
  <c r="F1672" i="2"/>
  <c r="H1672" i="2" s="1"/>
  <c r="E1672" i="2"/>
  <c r="B1672" i="2"/>
  <c r="A1672" i="2"/>
  <c r="F1613" i="2"/>
  <c r="H1613" i="2" s="1"/>
  <c r="E1613" i="2"/>
  <c r="B1613" i="2"/>
  <c r="A1613" i="2"/>
  <c r="F1795" i="2"/>
  <c r="H1795" i="2" s="1"/>
  <c r="E1795" i="2"/>
  <c r="B1795" i="2"/>
  <c r="A1795" i="2"/>
  <c r="F1653" i="2"/>
  <c r="H1653" i="2" s="1"/>
  <c r="E1653" i="2"/>
  <c r="B1653" i="2"/>
  <c r="A1653" i="2"/>
  <c r="F1730" i="2"/>
  <c r="H1730" i="2" s="1"/>
  <c r="E1730" i="2"/>
  <c r="B1730" i="2"/>
  <c r="A1730" i="2"/>
  <c r="B2021" i="2"/>
  <c r="F2021" i="2"/>
  <c r="H2021" i="2" s="1"/>
  <c r="A2021" i="2"/>
  <c r="E2021" i="2"/>
  <c r="B2120" i="2"/>
  <c r="A2120" i="2"/>
  <c r="E2120" i="2"/>
  <c r="F2120" i="2"/>
  <c r="H2120" i="2" s="1"/>
  <c r="E2014" i="2"/>
  <c r="F2014" i="2"/>
  <c r="H2014" i="2" s="1"/>
  <c r="B2014" i="2"/>
  <c r="A2014" i="2"/>
  <c r="E1908" i="2"/>
  <c r="A1908" i="2"/>
  <c r="F1908" i="2"/>
  <c r="H1908" i="2" s="1"/>
  <c r="B1908" i="2"/>
  <c r="F2004" i="2"/>
  <c r="H2004" i="2" s="1"/>
  <c r="E2004" i="2"/>
  <c r="B2004" i="2"/>
  <c r="A2004" i="2"/>
  <c r="B2054" i="2"/>
  <c r="F2054" i="2"/>
  <c r="H2054" i="2" s="1"/>
  <c r="A2054" i="2"/>
  <c r="E2054" i="2"/>
  <c r="B1913" i="2"/>
  <c r="F1913" i="2"/>
  <c r="H1913" i="2" s="1"/>
  <c r="E1913" i="2"/>
  <c r="A1913" i="2"/>
  <c r="B2028" i="2"/>
  <c r="F2028" i="2"/>
  <c r="H2028" i="2" s="1"/>
  <c r="E2028" i="2"/>
  <c r="A2028" i="2"/>
  <c r="A2162" i="2"/>
  <c r="F2162" i="2"/>
  <c r="H2162" i="2" s="1"/>
  <c r="E2162" i="2"/>
  <c r="B2162" i="2"/>
  <c r="A2350" i="2"/>
  <c r="F2350" i="2"/>
  <c r="H2350" i="2" s="1"/>
  <c r="E2350" i="2"/>
  <c r="B2350" i="2"/>
  <c r="B2715" i="2"/>
  <c r="F2715" i="2"/>
  <c r="H2715" i="2" s="1"/>
  <c r="E2715" i="2"/>
  <c r="A2715" i="2"/>
  <c r="F2486" i="2"/>
  <c r="H2486" i="2" s="1"/>
  <c r="B2486" i="2"/>
  <c r="A2486" i="2"/>
  <c r="E2486" i="2"/>
  <c r="B2291" i="2"/>
  <c r="A2291" i="2"/>
  <c r="F2291" i="2"/>
  <c r="H2291" i="2" s="1"/>
  <c r="E2291" i="2"/>
  <c r="F2352" i="2"/>
  <c r="H2352" i="2" s="1"/>
  <c r="B2352" i="2"/>
  <c r="E2352" i="2"/>
  <c r="A2352" i="2"/>
  <c r="F2669" i="2"/>
  <c r="H2669" i="2" s="1"/>
  <c r="B2669" i="2"/>
  <c r="A2669" i="2"/>
  <c r="E2669" i="2"/>
  <c r="F2658" i="2"/>
  <c r="H2658" i="2" s="1"/>
  <c r="E2658" i="2"/>
  <c r="B2658" i="2"/>
  <c r="A2658" i="2"/>
  <c r="A2337" i="2"/>
  <c r="F2337" i="2"/>
  <c r="H2337" i="2" s="1"/>
  <c r="B2337" i="2"/>
  <c r="E2337" i="2"/>
  <c r="E2457" i="2"/>
  <c r="F2457" i="2"/>
  <c r="H2457" i="2" s="1"/>
  <c r="B2457" i="2"/>
  <c r="A2457" i="2"/>
  <c r="F359" i="2"/>
  <c r="H359" i="2" s="1"/>
  <c r="E359" i="2"/>
  <c r="A359" i="2"/>
  <c r="B359" i="2"/>
  <c r="F319" i="2"/>
  <c r="H319" i="2" s="1"/>
  <c r="E319" i="2"/>
  <c r="A319" i="2"/>
  <c r="B319" i="2"/>
  <c r="F443" i="2"/>
  <c r="H443" i="2" s="1"/>
  <c r="E443" i="2"/>
  <c r="B443" i="2"/>
  <c r="A443" i="2"/>
  <c r="B66" i="2"/>
  <c r="A66" i="2"/>
  <c r="F66" i="2"/>
  <c r="H66" i="2" s="1"/>
  <c r="E66" i="2"/>
  <c r="E144" i="2"/>
  <c r="B144" i="2"/>
  <c r="A144" i="2"/>
  <c r="F144" i="2"/>
  <c r="H144" i="2" s="1"/>
  <c r="F147" i="2"/>
  <c r="H147" i="2" s="1"/>
  <c r="E147" i="2"/>
  <c r="B147" i="2"/>
  <c r="A147" i="2"/>
  <c r="B957" i="2"/>
  <c r="A957" i="2"/>
  <c r="F957" i="2"/>
  <c r="H957" i="2" s="1"/>
  <c r="E957" i="2"/>
  <c r="F386" i="2"/>
  <c r="H386" i="2" s="1"/>
  <c r="E386" i="2"/>
  <c r="B386" i="2"/>
  <c r="A386" i="2"/>
  <c r="F341" i="2"/>
  <c r="H341" i="2" s="1"/>
  <c r="E341" i="2"/>
  <c r="A341" i="2"/>
  <c r="B341" i="2"/>
  <c r="F398" i="2"/>
  <c r="H398" i="2" s="1"/>
  <c r="E398" i="2"/>
  <c r="B398" i="2"/>
  <c r="A398" i="2"/>
  <c r="B62" i="2"/>
  <c r="A62" i="2"/>
  <c r="F62" i="2"/>
  <c r="H62" i="2" s="1"/>
  <c r="E62" i="2"/>
  <c r="F430" i="2"/>
  <c r="H430" i="2" s="1"/>
  <c r="E430" i="2"/>
  <c r="B430" i="2"/>
  <c r="A430" i="2"/>
  <c r="F181" i="2"/>
  <c r="H181" i="2" s="1"/>
  <c r="E181" i="2"/>
  <c r="B181" i="2"/>
  <c r="A181" i="2"/>
  <c r="F305" i="2"/>
  <c r="H305" i="2" s="1"/>
  <c r="A305" i="2"/>
  <c r="E305" i="2"/>
  <c r="B305" i="2"/>
  <c r="F353" i="2"/>
  <c r="H353" i="2" s="1"/>
  <c r="E353" i="2"/>
  <c r="A353" i="2"/>
  <c r="B353" i="2"/>
  <c r="F401" i="2"/>
  <c r="H401" i="2" s="1"/>
  <c r="E401" i="2"/>
  <c r="A401" i="2"/>
  <c r="B401" i="2"/>
  <c r="E192" i="2"/>
  <c r="B192" i="2"/>
  <c r="A192" i="2"/>
  <c r="F192" i="2"/>
  <c r="H192" i="2" s="1"/>
  <c r="A516" i="2"/>
  <c r="E516" i="2"/>
  <c r="B516" i="2"/>
  <c r="F516" i="2"/>
  <c r="H516" i="2" s="1"/>
  <c r="F43" i="2"/>
  <c r="H43" i="2" s="1"/>
  <c r="E43" i="2"/>
  <c r="B43" i="2"/>
  <c r="A43" i="2"/>
  <c r="F67" i="2"/>
  <c r="H67" i="2" s="1"/>
  <c r="E67" i="2"/>
  <c r="B67" i="2"/>
  <c r="A67" i="2"/>
  <c r="A91" i="2"/>
  <c r="F91" i="2"/>
  <c r="H91" i="2" s="1"/>
  <c r="E91" i="2"/>
  <c r="B91" i="2"/>
  <c r="F195" i="2"/>
  <c r="H195" i="2" s="1"/>
  <c r="E195" i="2"/>
  <c r="B195" i="2"/>
  <c r="A195" i="2"/>
  <c r="B639" i="2"/>
  <c r="A639" i="2"/>
  <c r="F639" i="2"/>
  <c r="H639" i="2" s="1"/>
  <c r="E639" i="2"/>
  <c r="F169" i="2"/>
  <c r="H169" i="2" s="1"/>
  <c r="E169" i="2"/>
  <c r="B169" i="2"/>
  <c r="A169" i="2"/>
  <c r="F299" i="2"/>
  <c r="H299" i="2" s="1"/>
  <c r="A299" i="2"/>
  <c r="E299" i="2"/>
  <c r="B299" i="2"/>
  <c r="F349" i="2"/>
  <c r="H349" i="2" s="1"/>
  <c r="E349" i="2"/>
  <c r="A349" i="2"/>
  <c r="B349" i="2"/>
  <c r="F397" i="2"/>
  <c r="H397" i="2" s="1"/>
  <c r="E397" i="2"/>
  <c r="A397" i="2"/>
  <c r="B397" i="2"/>
  <c r="F156" i="2"/>
  <c r="H156" i="2" s="1"/>
  <c r="E156" i="2"/>
  <c r="B156" i="2"/>
  <c r="A156" i="2"/>
  <c r="E435" i="2"/>
  <c r="A435" i="2"/>
  <c r="F435" i="2"/>
  <c r="H435" i="2" s="1"/>
  <c r="B435" i="2"/>
  <c r="F117" i="2"/>
  <c r="H117" i="2" s="1"/>
  <c r="E117" i="2"/>
  <c r="B117" i="2"/>
  <c r="A117" i="2"/>
  <c r="F261" i="2"/>
  <c r="H261" i="2" s="1"/>
  <c r="E261" i="2"/>
  <c r="B261" i="2"/>
  <c r="A261" i="2"/>
  <c r="B599" i="2"/>
  <c r="A599" i="2"/>
  <c r="F599" i="2"/>
  <c r="H599" i="2" s="1"/>
  <c r="E599" i="2"/>
  <c r="F200" i="2"/>
  <c r="H200" i="2" s="1"/>
  <c r="E200" i="2"/>
  <c r="B200" i="2"/>
  <c r="A200" i="2"/>
  <c r="F323" i="2"/>
  <c r="H323" i="2" s="1"/>
  <c r="E323" i="2"/>
  <c r="A323" i="2"/>
  <c r="B323" i="2"/>
  <c r="F371" i="2"/>
  <c r="H371" i="2" s="1"/>
  <c r="E371" i="2"/>
  <c r="A371" i="2"/>
  <c r="B371" i="2"/>
  <c r="B505" i="2"/>
  <c r="A505" i="2"/>
  <c r="F505" i="2"/>
  <c r="H505" i="2" s="1"/>
  <c r="E505" i="2"/>
  <c r="F209" i="2"/>
  <c r="H209" i="2" s="1"/>
  <c r="E209" i="2"/>
  <c r="B209" i="2"/>
  <c r="A209" i="2"/>
  <c r="E774" i="2"/>
  <c r="A774" i="2"/>
  <c r="B774" i="2"/>
  <c r="F774" i="2"/>
  <c r="H774" i="2" s="1"/>
  <c r="F100" i="2"/>
  <c r="H100" i="2" s="1"/>
  <c r="E100" i="2"/>
  <c r="B100" i="2"/>
  <c r="A100" i="2"/>
  <c r="F244" i="2"/>
  <c r="H244" i="2" s="1"/>
  <c r="E244" i="2"/>
  <c r="B244" i="2"/>
  <c r="A244" i="2"/>
  <c r="E794" i="2"/>
  <c r="A794" i="2"/>
  <c r="F794" i="2"/>
  <c r="H794" i="2" s="1"/>
  <c r="B794" i="2"/>
  <c r="E830" i="2"/>
  <c r="B830" i="2"/>
  <c r="F830" i="2"/>
  <c r="H830" i="2" s="1"/>
  <c r="A830" i="2"/>
  <c r="B1021" i="2"/>
  <c r="A1021" i="2"/>
  <c r="F1021" i="2"/>
  <c r="H1021" i="2" s="1"/>
  <c r="E1021" i="2"/>
  <c r="E547" i="2"/>
  <c r="B547" i="2"/>
  <c r="A547" i="2"/>
  <c r="F547" i="2"/>
  <c r="H547" i="2" s="1"/>
  <c r="E649" i="2"/>
  <c r="B649" i="2"/>
  <c r="A649" i="2"/>
  <c r="F649" i="2"/>
  <c r="H649" i="2" s="1"/>
  <c r="E1342" i="2"/>
  <c r="B1342" i="2"/>
  <c r="A1342" i="2"/>
  <c r="F1342" i="2"/>
  <c r="H1342" i="2" s="1"/>
  <c r="A555" i="2"/>
  <c r="F555" i="2"/>
  <c r="H555" i="2" s="1"/>
  <c r="E555" i="2"/>
  <c r="B555" i="2"/>
  <c r="F510" i="2"/>
  <c r="H510" i="2" s="1"/>
  <c r="E510" i="2"/>
  <c r="B510" i="2"/>
  <c r="A510" i="2"/>
  <c r="E888" i="2"/>
  <c r="B888" i="2"/>
  <c r="F888" i="2"/>
  <c r="H888" i="2" s="1"/>
  <c r="A888" i="2"/>
  <c r="E436" i="2"/>
  <c r="F436" i="2"/>
  <c r="H436" i="2" s="1"/>
  <c r="B436" i="2"/>
  <c r="A436" i="2"/>
  <c r="F573" i="2"/>
  <c r="H573" i="2" s="1"/>
  <c r="E573" i="2"/>
  <c r="A573" i="2"/>
  <c r="B573" i="2"/>
  <c r="F669" i="2"/>
  <c r="H669" i="2" s="1"/>
  <c r="E669" i="2"/>
  <c r="A669" i="2"/>
  <c r="B669" i="2"/>
  <c r="F445" i="2"/>
  <c r="H445" i="2" s="1"/>
  <c r="E445" i="2"/>
  <c r="B445" i="2"/>
  <c r="A445" i="2"/>
  <c r="F415" i="2"/>
  <c r="H415" i="2" s="1"/>
  <c r="E415" i="2"/>
  <c r="A415" i="2"/>
  <c r="B415" i="2"/>
  <c r="F539" i="2"/>
  <c r="H539" i="2" s="1"/>
  <c r="E539" i="2"/>
  <c r="B539" i="2"/>
  <c r="A539" i="2"/>
  <c r="E912" i="2"/>
  <c r="B912" i="2"/>
  <c r="F912" i="2"/>
  <c r="H912" i="2" s="1"/>
  <c r="A912" i="2"/>
  <c r="F465" i="2"/>
  <c r="H465" i="2" s="1"/>
  <c r="E465" i="2"/>
  <c r="B465" i="2"/>
  <c r="A465" i="2"/>
  <c r="F611" i="2"/>
  <c r="H611" i="2" s="1"/>
  <c r="E611" i="2"/>
  <c r="B611" i="2"/>
  <c r="A611" i="2"/>
  <c r="F707" i="2"/>
  <c r="H707" i="2" s="1"/>
  <c r="E707" i="2"/>
  <c r="B707" i="2"/>
  <c r="A707" i="2"/>
  <c r="E428" i="2"/>
  <c r="B428" i="2"/>
  <c r="A428" i="2"/>
  <c r="F428" i="2"/>
  <c r="H428" i="2" s="1"/>
  <c r="F743" i="2"/>
  <c r="H743" i="2" s="1"/>
  <c r="B743" i="2"/>
  <c r="A743" i="2"/>
  <c r="E743" i="2"/>
  <c r="B1203" i="2"/>
  <c r="A1203" i="2"/>
  <c r="F1203" i="2"/>
  <c r="H1203" i="2" s="1"/>
  <c r="E1203" i="2"/>
  <c r="E768" i="2"/>
  <c r="F768" i="2"/>
  <c r="H768" i="2" s="1"/>
  <c r="B768" i="2"/>
  <c r="A768" i="2"/>
  <c r="E870" i="2"/>
  <c r="B870" i="2"/>
  <c r="F870" i="2"/>
  <c r="H870" i="2" s="1"/>
  <c r="A870" i="2"/>
  <c r="E918" i="2"/>
  <c r="B918" i="2"/>
  <c r="F918" i="2"/>
  <c r="H918" i="2" s="1"/>
  <c r="A918" i="2"/>
  <c r="E966" i="2"/>
  <c r="B966" i="2"/>
  <c r="F966" i="2"/>
  <c r="H966" i="2" s="1"/>
  <c r="A966" i="2"/>
  <c r="E1014" i="2"/>
  <c r="B1014" i="2"/>
  <c r="F1014" i="2"/>
  <c r="H1014" i="2" s="1"/>
  <c r="A1014" i="2"/>
  <c r="E814" i="2"/>
  <c r="F814" i="2"/>
  <c r="H814" i="2" s="1"/>
  <c r="B814" i="2"/>
  <c r="A814" i="2"/>
  <c r="B1251" i="2"/>
  <c r="A1251" i="2"/>
  <c r="F1251" i="2"/>
  <c r="H1251" i="2" s="1"/>
  <c r="E1251" i="2"/>
  <c r="F558" i="2"/>
  <c r="H558" i="2" s="1"/>
  <c r="E558" i="2"/>
  <c r="B558" i="2"/>
  <c r="A558" i="2"/>
  <c r="E582" i="2"/>
  <c r="F582" i="2"/>
  <c r="H582" i="2" s="1"/>
  <c r="B582" i="2"/>
  <c r="A582" i="2"/>
  <c r="E606" i="2"/>
  <c r="F606" i="2"/>
  <c r="H606" i="2" s="1"/>
  <c r="B606" i="2"/>
  <c r="A606" i="2"/>
  <c r="E630" i="2"/>
  <c r="F630" i="2"/>
  <c r="H630" i="2" s="1"/>
  <c r="B630" i="2"/>
  <c r="A630" i="2"/>
  <c r="E654" i="2"/>
  <c r="F654" i="2"/>
  <c r="H654" i="2" s="1"/>
  <c r="B654" i="2"/>
  <c r="A654" i="2"/>
  <c r="E678" i="2"/>
  <c r="F678" i="2"/>
  <c r="H678" i="2" s="1"/>
  <c r="B678" i="2"/>
  <c r="A678" i="2"/>
  <c r="E702" i="2"/>
  <c r="F702" i="2"/>
  <c r="H702" i="2" s="1"/>
  <c r="B702" i="2"/>
  <c r="A702" i="2"/>
  <c r="E726" i="2"/>
  <c r="F726" i="2"/>
  <c r="H726" i="2" s="1"/>
  <c r="B726" i="2"/>
  <c r="A726" i="2"/>
  <c r="F801" i="2"/>
  <c r="H801" i="2" s="1"/>
  <c r="E801" i="2"/>
  <c r="B801" i="2"/>
  <c r="A801" i="2"/>
  <c r="F819" i="2"/>
  <c r="H819" i="2" s="1"/>
  <c r="E819" i="2"/>
  <c r="B819" i="2"/>
  <c r="A819" i="2"/>
  <c r="F873" i="2"/>
  <c r="H873" i="2" s="1"/>
  <c r="E873" i="2"/>
  <c r="B873" i="2"/>
  <c r="A873" i="2"/>
  <c r="F921" i="2"/>
  <c r="H921" i="2" s="1"/>
  <c r="E921" i="2"/>
  <c r="B921" i="2"/>
  <c r="A921" i="2"/>
  <c r="F969" i="2"/>
  <c r="H969" i="2" s="1"/>
  <c r="E969" i="2"/>
  <c r="B969" i="2"/>
  <c r="A969" i="2"/>
  <c r="F1017" i="2"/>
  <c r="H1017" i="2" s="1"/>
  <c r="E1017" i="2"/>
  <c r="B1017" i="2"/>
  <c r="A1017" i="2"/>
  <c r="E808" i="2"/>
  <c r="F808" i="2"/>
  <c r="H808" i="2" s="1"/>
  <c r="B808" i="2"/>
  <c r="A808" i="2"/>
  <c r="F817" i="2"/>
  <c r="H817" i="2" s="1"/>
  <c r="E817" i="2"/>
  <c r="B817" i="2"/>
  <c r="A817" i="2"/>
  <c r="E745" i="2"/>
  <c r="B745" i="2"/>
  <c r="A745" i="2"/>
  <c r="F745" i="2"/>
  <c r="H745" i="2" s="1"/>
  <c r="F863" i="2"/>
  <c r="H863" i="2" s="1"/>
  <c r="E863" i="2"/>
  <c r="B863" i="2"/>
  <c r="A863" i="2"/>
  <c r="F911" i="2"/>
  <c r="H911" i="2" s="1"/>
  <c r="E911" i="2"/>
  <c r="B911" i="2"/>
  <c r="A911" i="2"/>
  <c r="F959" i="2"/>
  <c r="H959" i="2" s="1"/>
  <c r="E959" i="2"/>
  <c r="B959" i="2"/>
  <c r="A959" i="2"/>
  <c r="F1007" i="2"/>
  <c r="H1007" i="2" s="1"/>
  <c r="E1007" i="2"/>
  <c r="B1007" i="2"/>
  <c r="A1007" i="2"/>
  <c r="E1450" i="2"/>
  <c r="B1450" i="2"/>
  <c r="A1450" i="2"/>
  <c r="F1450" i="2"/>
  <c r="H1450" i="2" s="1"/>
  <c r="A1093" i="2"/>
  <c r="F1093" i="2"/>
  <c r="H1093" i="2" s="1"/>
  <c r="E1093" i="2"/>
  <c r="B1093" i="2"/>
  <c r="A1233" i="2"/>
  <c r="F1233" i="2"/>
  <c r="H1233" i="2" s="1"/>
  <c r="E1233" i="2"/>
  <c r="B1233" i="2"/>
  <c r="F1269" i="2"/>
  <c r="H1269" i="2" s="1"/>
  <c r="B1269" i="2"/>
  <c r="A1269" i="2"/>
  <c r="E1269" i="2"/>
  <c r="F1542" i="2"/>
  <c r="H1542" i="2" s="1"/>
  <c r="E1542" i="2"/>
  <c r="A1542" i="2"/>
  <c r="B1542" i="2"/>
  <c r="F1111" i="2"/>
  <c r="H1111" i="2" s="1"/>
  <c r="E1111" i="2"/>
  <c r="B1111" i="2"/>
  <c r="A1111" i="2"/>
  <c r="F1255" i="2"/>
  <c r="H1255" i="2" s="1"/>
  <c r="E1255" i="2"/>
  <c r="B1255" i="2"/>
  <c r="A1255" i="2"/>
  <c r="A1325" i="2"/>
  <c r="F1325" i="2"/>
  <c r="H1325" i="2" s="1"/>
  <c r="E1325" i="2"/>
  <c r="B1325" i="2"/>
  <c r="F1056" i="2"/>
  <c r="H1056" i="2" s="1"/>
  <c r="E1056" i="2"/>
  <c r="B1056" i="2"/>
  <c r="A1056" i="2"/>
  <c r="F1267" i="2"/>
  <c r="H1267" i="2" s="1"/>
  <c r="E1267" i="2"/>
  <c r="B1267" i="2"/>
  <c r="A1267" i="2"/>
  <c r="F1151" i="2"/>
  <c r="H1151" i="2" s="1"/>
  <c r="E1151" i="2"/>
  <c r="B1151" i="2"/>
  <c r="A1151" i="2"/>
  <c r="F1253" i="2"/>
  <c r="H1253" i="2" s="1"/>
  <c r="E1253" i="2"/>
  <c r="B1253" i="2"/>
  <c r="A1253" i="2"/>
  <c r="A1489" i="2"/>
  <c r="F1489" i="2"/>
  <c r="H1489" i="2" s="1"/>
  <c r="E1489" i="2"/>
  <c r="B1489" i="2"/>
  <c r="E1363" i="2"/>
  <c r="B1363" i="2"/>
  <c r="A1363" i="2"/>
  <c r="F1363" i="2"/>
  <c r="H1363" i="2" s="1"/>
  <c r="A1563" i="2"/>
  <c r="E1563" i="2"/>
  <c r="B1563" i="2"/>
  <c r="F1563" i="2"/>
  <c r="H1563" i="2" s="1"/>
  <c r="E1352" i="2"/>
  <c r="B1352" i="2"/>
  <c r="F1352" i="2"/>
  <c r="H1352" i="2" s="1"/>
  <c r="A1352" i="2"/>
  <c r="A1441" i="2"/>
  <c r="F1441" i="2"/>
  <c r="H1441" i="2" s="1"/>
  <c r="E1441" i="2"/>
  <c r="B1441" i="2"/>
  <c r="E1470" i="2"/>
  <c r="F1470" i="2"/>
  <c r="H1470" i="2" s="1"/>
  <c r="B1470" i="2"/>
  <c r="A1470" i="2"/>
  <c r="E1314" i="2"/>
  <c r="B1314" i="2"/>
  <c r="F1314" i="2"/>
  <c r="H1314" i="2" s="1"/>
  <c r="A1314" i="2"/>
  <c r="A1403" i="2"/>
  <c r="F1403" i="2"/>
  <c r="H1403" i="2" s="1"/>
  <c r="E1403" i="2"/>
  <c r="B1403" i="2"/>
  <c r="F1076" i="2"/>
  <c r="H1076" i="2" s="1"/>
  <c r="E1076" i="2"/>
  <c r="B1076" i="2"/>
  <c r="A1076" i="2"/>
  <c r="F1100" i="2"/>
  <c r="H1100" i="2" s="1"/>
  <c r="E1100" i="2"/>
  <c r="B1100" i="2"/>
  <c r="A1100" i="2"/>
  <c r="F1124" i="2"/>
  <c r="H1124" i="2" s="1"/>
  <c r="E1124" i="2"/>
  <c r="B1124" i="2"/>
  <c r="A1124" i="2"/>
  <c r="F1148" i="2"/>
  <c r="H1148" i="2" s="1"/>
  <c r="E1148" i="2"/>
  <c r="B1148" i="2"/>
  <c r="A1148" i="2"/>
  <c r="F1172" i="2"/>
  <c r="H1172" i="2" s="1"/>
  <c r="B1172" i="2"/>
  <c r="E1172" i="2"/>
  <c r="A1172" i="2"/>
  <c r="F1196" i="2"/>
  <c r="H1196" i="2" s="1"/>
  <c r="B1196" i="2"/>
  <c r="E1196" i="2"/>
  <c r="A1196" i="2"/>
  <c r="F1220" i="2"/>
  <c r="H1220" i="2" s="1"/>
  <c r="B1220" i="2"/>
  <c r="E1220" i="2"/>
  <c r="A1220" i="2"/>
  <c r="F1244" i="2"/>
  <c r="H1244" i="2" s="1"/>
  <c r="B1244" i="2"/>
  <c r="E1244" i="2"/>
  <c r="A1244" i="2"/>
  <c r="F1268" i="2"/>
  <c r="H1268" i="2" s="1"/>
  <c r="B1268" i="2"/>
  <c r="E1268" i="2"/>
  <c r="A1268" i="2"/>
  <c r="F1292" i="2"/>
  <c r="H1292" i="2" s="1"/>
  <c r="B1292" i="2"/>
  <c r="E1292" i="2"/>
  <c r="A1292" i="2"/>
  <c r="E1432" i="2"/>
  <c r="F1432" i="2"/>
  <c r="H1432" i="2" s="1"/>
  <c r="B1432" i="2"/>
  <c r="A1432" i="2"/>
  <c r="E1336" i="2"/>
  <c r="B1336" i="2"/>
  <c r="F1336" i="2"/>
  <c r="H1336" i="2" s="1"/>
  <c r="A1336" i="2"/>
  <c r="A1481" i="2"/>
  <c r="F1481" i="2"/>
  <c r="H1481" i="2" s="1"/>
  <c r="E1481" i="2"/>
  <c r="B1481" i="2"/>
  <c r="A1499" i="2"/>
  <c r="F1499" i="2"/>
  <c r="H1499" i="2" s="1"/>
  <c r="E1499" i="2"/>
  <c r="B1499" i="2"/>
  <c r="F1341" i="2"/>
  <c r="H1341" i="2" s="1"/>
  <c r="E1341" i="2"/>
  <c r="B1341" i="2"/>
  <c r="A1341" i="2"/>
  <c r="E1420" i="2"/>
  <c r="F1420" i="2"/>
  <c r="H1420" i="2" s="1"/>
  <c r="B1420" i="2"/>
  <c r="A1420" i="2"/>
  <c r="A1721" i="2"/>
  <c r="B1721" i="2"/>
  <c r="F1721" i="2"/>
  <c r="H1721" i="2" s="1"/>
  <c r="E1721" i="2"/>
  <c r="A1449" i="2"/>
  <c r="F1449" i="2"/>
  <c r="H1449" i="2" s="1"/>
  <c r="E1449" i="2"/>
  <c r="B1449" i="2"/>
  <c r="A1525" i="2"/>
  <c r="F1525" i="2"/>
  <c r="H1525" i="2" s="1"/>
  <c r="E1525" i="2"/>
  <c r="B1525" i="2"/>
  <c r="A1561" i="2"/>
  <c r="F1561" i="2"/>
  <c r="H1561" i="2" s="1"/>
  <c r="E1561" i="2"/>
  <c r="B1561" i="2"/>
  <c r="A1702" i="2"/>
  <c r="F1702" i="2"/>
  <c r="H1702" i="2" s="1"/>
  <c r="E1702" i="2"/>
  <c r="B1702" i="2"/>
  <c r="A1399" i="2"/>
  <c r="E1399" i="2"/>
  <c r="F1399" i="2"/>
  <c r="H1399" i="2" s="1"/>
  <c r="B1399" i="2"/>
  <c r="E1392" i="2"/>
  <c r="F1392" i="2"/>
  <c r="H1392" i="2" s="1"/>
  <c r="A1392" i="2"/>
  <c r="B1392" i="2"/>
  <c r="B1571" i="2"/>
  <c r="A1571" i="2"/>
  <c r="F1571" i="2"/>
  <c r="H1571" i="2" s="1"/>
  <c r="E1571" i="2"/>
  <c r="A1517" i="2"/>
  <c r="F1517" i="2"/>
  <c r="H1517" i="2" s="1"/>
  <c r="E1517" i="2"/>
  <c r="B1517" i="2"/>
  <c r="A1553" i="2"/>
  <c r="F1553" i="2"/>
  <c r="H1553" i="2" s="1"/>
  <c r="E1553" i="2"/>
  <c r="B1553" i="2"/>
  <c r="A1665" i="2"/>
  <c r="F1665" i="2"/>
  <c r="H1665" i="2" s="1"/>
  <c r="E1665" i="2"/>
  <c r="B1665" i="2"/>
  <c r="E1632" i="2"/>
  <c r="B1632" i="2"/>
  <c r="A1632" i="2"/>
  <c r="F1632" i="2"/>
  <c r="H1632" i="2" s="1"/>
  <c r="F1602" i="2"/>
  <c r="H1602" i="2" s="1"/>
  <c r="E1602" i="2"/>
  <c r="B1602" i="2"/>
  <c r="A1602" i="2"/>
  <c r="A1759" i="2"/>
  <c r="F1759" i="2"/>
  <c r="H1759" i="2" s="1"/>
  <c r="E1759" i="2"/>
  <c r="B1759" i="2"/>
  <c r="F1817" i="2"/>
  <c r="H1817" i="2" s="1"/>
  <c r="E1817" i="2"/>
  <c r="B1817" i="2"/>
  <c r="A1817" i="2"/>
  <c r="A1765" i="2"/>
  <c r="B1765" i="2"/>
  <c r="F1765" i="2"/>
  <c r="H1765" i="2" s="1"/>
  <c r="E1765" i="2"/>
  <c r="A1644" i="2"/>
  <c r="E1644" i="2"/>
  <c r="B1644" i="2"/>
  <c r="F1644" i="2"/>
  <c r="H1644" i="2" s="1"/>
  <c r="E1859" i="2"/>
  <c r="F1859" i="2"/>
  <c r="H1859" i="2" s="1"/>
  <c r="B1859" i="2"/>
  <c r="A1859" i="2"/>
  <c r="A1691" i="2"/>
  <c r="F1691" i="2"/>
  <c r="H1691" i="2" s="1"/>
  <c r="E1691" i="2"/>
  <c r="B1691" i="2"/>
  <c r="F1616" i="2"/>
  <c r="H1616" i="2" s="1"/>
  <c r="E1616" i="2"/>
  <c r="B1616" i="2"/>
  <c r="A1616" i="2"/>
  <c r="F1756" i="2"/>
  <c r="H1756" i="2" s="1"/>
  <c r="E1756" i="2"/>
  <c r="B1756" i="2"/>
  <c r="A1756" i="2"/>
  <c r="F1675" i="2"/>
  <c r="H1675" i="2" s="1"/>
  <c r="E1675" i="2"/>
  <c r="B1675" i="2"/>
  <c r="A1675" i="2"/>
  <c r="F1848" i="2"/>
  <c r="H1848" i="2" s="1"/>
  <c r="E1848" i="2"/>
  <c r="B1848" i="2"/>
  <c r="A1848" i="2"/>
  <c r="F1694" i="2"/>
  <c r="H1694" i="2" s="1"/>
  <c r="E1694" i="2"/>
  <c r="B1694" i="2"/>
  <c r="A1694" i="2"/>
  <c r="F1860" i="2"/>
  <c r="H1860" i="2" s="1"/>
  <c r="E1860" i="2"/>
  <c r="B1860" i="2"/>
  <c r="A1860" i="2"/>
  <c r="A1786" i="2"/>
  <c r="E1786" i="2"/>
  <c r="B1786" i="2"/>
  <c r="F1786" i="2"/>
  <c r="H1786" i="2" s="1"/>
  <c r="F1810" i="2"/>
  <c r="H1810" i="2" s="1"/>
  <c r="E1810" i="2"/>
  <c r="B1810" i="2"/>
  <c r="A1810" i="2"/>
  <c r="F1846" i="2"/>
  <c r="H1846" i="2" s="1"/>
  <c r="E1846" i="2"/>
  <c r="B1846" i="2"/>
  <c r="A1846" i="2"/>
  <c r="E1875" i="2"/>
  <c r="F1875" i="2"/>
  <c r="H1875" i="2" s="1"/>
  <c r="B1875" i="2"/>
  <c r="A1875" i="2"/>
  <c r="E1873" i="2"/>
  <c r="F1873" i="2"/>
  <c r="H1873" i="2" s="1"/>
  <c r="B1873" i="2"/>
  <c r="A1873" i="2"/>
  <c r="B2050" i="2"/>
  <c r="E2050" i="2"/>
  <c r="A2050" i="2"/>
  <c r="F2050" i="2"/>
  <c r="H2050" i="2" s="1"/>
  <c r="B2057" i="2"/>
  <c r="F2057" i="2"/>
  <c r="H2057" i="2" s="1"/>
  <c r="E2057" i="2"/>
  <c r="A2057" i="2"/>
  <c r="F2159" i="2"/>
  <c r="H2159" i="2" s="1"/>
  <c r="E2159" i="2"/>
  <c r="A2159" i="2"/>
  <c r="B2159" i="2"/>
  <c r="B2051" i="2"/>
  <c r="F2051" i="2"/>
  <c r="H2051" i="2" s="1"/>
  <c r="E2051" i="2"/>
  <c r="A2051" i="2"/>
  <c r="B2134" i="2"/>
  <c r="F2134" i="2"/>
  <c r="H2134" i="2" s="1"/>
  <c r="E2134" i="2"/>
  <c r="A2134" i="2"/>
  <c r="B2084" i="2"/>
  <c r="F2084" i="2"/>
  <c r="H2084" i="2" s="1"/>
  <c r="E2084" i="2"/>
  <c r="A2084" i="2"/>
  <c r="B2056" i="2"/>
  <c r="E2056" i="2"/>
  <c r="F2056" i="2"/>
  <c r="H2056" i="2" s="1"/>
  <c r="A2056" i="2"/>
  <c r="A2555" i="2"/>
  <c r="F2555" i="2"/>
  <c r="H2555" i="2" s="1"/>
  <c r="B2555" i="2"/>
  <c r="E2555" i="2"/>
  <c r="F2531" i="2"/>
  <c r="H2531" i="2" s="1"/>
  <c r="A2531" i="2"/>
  <c r="B2531" i="2"/>
  <c r="E2531" i="2"/>
  <c r="F1902" i="2"/>
  <c r="H1902" i="2" s="1"/>
  <c r="B1902" i="2"/>
  <c r="A1902" i="2"/>
  <c r="E1902" i="2"/>
  <c r="F1926" i="2"/>
  <c r="H1926" i="2" s="1"/>
  <c r="E1926" i="2"/>
  <c r="B1926" i="2"/>
  <c r="A1926" i="2"/>
  <c r="F1950" i="2"/>
  <c r="H1950" i="2" s="1"/>
  <c r="E1950" i="2"/>
  <c r="B1950" i="2"/>
  <c r="A1950" i="2"/>
  <c r="F1974" i="2"/>
  <c r="H1974" i="2" s="1"/>
  <c r="E1974" i="2"/>
  <c r="B1974" i="2"/>
  <c r="A1974" i="2"/>
  <c r="F1998" i="2"/>
  <c r="H1998" i="2" s="1"/>
  <c r="E1998" i="2"/>
  <c r="A1998" i="2"/>
  <c r="B1998" i="2"/>
  <c r="B2099" i="2"/>
  <c r="F2099" i="2"/>
  <c r="H2099" i="2" s="1"/>
  <c r="E2099" i="2"/>
  <c r="A2099" i="2"/>
  <c r="F2157" i="2"/>
  <c r="H2157" i="2" s="1"/>
  <c r="E2157" i="2"/>
  <c r="B2157" i="2"/>
  <c r="A2157" i="2"/>
  <c r="B2127" i="2"/>
  <c r="F2127" i="2"/>
  <c r="H2127" i="2" s="1"/>
  <c r="E2127" i="2"/>
  <c r="A2127" i="2"/>
  <c r="A2192" i="2"/>
  <c r="B2192" i="2"/>
  <c r="F2192" i="2"/>
  <c r="H2192" i="2" s="1"/>
  <c r="E2192" i="2"/>
  <c r="F2145" i="2"/>
  <c r="H2145" i="2" s="1"/>
  <c r="E2145" i="2"/>
  <c r="B2145" i="2"/>
  <c r="A2145" i="2"/>
  <c r="B2122" i="2"/>
  <c r="F2122" i="2"/>
  <c r="H2122" i="2" s="1"/>
  <c r="E2122" i="2"/>
  <c r="A2122" i="2"/>
  <c r="E1883" i="2"/>
  <c r="F1883" i="2"/>
  <c r="H1883" i="2" s="1"/>
  <c r="B1883" i="2"/>
  <c r="A1883" i="2"/>
  <c r="E1907" i="2"/>
  <c r="F1907" i="2"/>
  <c r="H1907" i="2" s="1"/>
  <c r="B1907" i="2"/>
  <c r="A1907" i="2"/>
  <c r="E1931" i="2"/>
  <c r="B1931" i="2"/>
  <c r="F1931" i="2"/>
  <c r="H1931" i="2" s="1"/>
  <c r="A1931" i="2"/>
  <c r="E1955" i="2"/>
  <c r="B1955" i="2"/>
  <c r="F1955" i="2"/>
  <c r="H1955" i="2" s="1"/>
  <c r="A1955" i="2"/>
  <c r="F1979" i="2"/>
  <c r="H1979" i="2" s="1"/>
  <c r="E1979" i="2"/>
  <c r="B1979" i="2"/>
  <c r="A1979" i="2"/>
  <c r="F2003" i="2"/>
  <c r="H2003" i="2" s="1"/>
  <c r="E2003" i="2"/>
  <c r="B2003" i="2"/>
  <c r="A2003" i="2"/>
  <c r="A2152" i="2"/>
  <c r="B2152" i="2"/>
  <c r="F2152" i="2"/>
  <c r="H2152" i="2" s="1"/>
  <c r="E2152" i="2"/>
  <c r="A2634" i="2"/>
  <c r="F2634" i="2"/>
  <c r="H2634" i="2" s="1"/>
  <c r="E2634" i="2"/>
  <c r="B2634" i="2"/>
  <c r="A2148" i="2"/>
  <c r="F2148" i="2"/>
  <c r="H2148" i="2" s="1"/>
  <c r="E2148" i="2"/>
  <c r="B2148" i="2"/>
  <c r="E2655" i="2"/>
  <c r="A2655" i="2"/>
  <c r="F2655" i="2"/>
  <c r="H2655" i="2" s="1"/>
  <c r="B2655" i="2"/>
  <c r="E2241" i="2"/>
  <c r="B2241" i="2"/>
  <c r="A2241" i="2"/>
  <c r="F2241" i="2"/>
  <c r="H2241" i="2" s="1"/>
  <c r="B2721" i="2"/>
  <c r="F2721" i="2"/>
  <c r="H2721" i="2" s="1"/>
  <c r="E2721" i="2"/>
  <c r="A2721" i="2"/>
  <c r="E2282" i="2"/>
  <c r="F2282" i="2"/>
  <c r="H2282" i="2" s="1"/>
  <c r="B2282" i="2"/>
  <c r="A2282" i="2"/>
  <c r="B2303" i="2"/>
  <c r="F2303" i="2"/>
  <c r="H2303" i="2" s="1"/>
  <c r="E2303" i="2"/>
  <c r="A2303" i="2"/>
  <c r="A2190" i="2"/>
  <c r="E2190" i="2"/>
  <c r="F2190" i="2"/>
  <c r="H2190" i="2" s="1"/>
  <c r="B2190" i="2"/>
  <c r="B2595" i="2"/>
  <c r="A2595" i="2"/>
  <c r="F2595" i="2"/>
  <c r="H2595" i="2" s="1"/>
  <c r="E2595" i="2"/>
  <c r="F2674" i="2"/>
  <c r="H2674" i="2" s="1"/>
  <c r="A2674" i="2"/>
  <c r="B2674" i="2"/>
  <c r="E2674" i="2"/>
  <c r="B2356" i="2"/>
  <c r="A2356" i="2"/>
  <c r="F2356" i="2"/>
  <c r="H2356" i="2" s="1"/>
  <c r="E2356" i="2"/>
  <c r="A2287" i="2"/>
  <c r="F2287" i="2"/>
  <c r="H2287" i="2" s="1"/>
  <c r="E2287" i="2"/>
  <c r="B2287" i="2"/>
  <c r="A2163" i="2"/>
  <c r="F2163" i="2"/>
  <c r="H2163" i="2" s="1"/>
  <c r="E2163" i="2"/>
  <c r="B2163" i="2"/>
  <c r="F2187" i="2"/>
  <c r="H2187" i="2" s="1"/>
  <c r="E2187" i="2"/>
  <c r="B2187" i="2"/>
  <c r="A2187" i="2"/>
  <c r="F2211" i="2"/>
  <c r="H2211" i="2" s="1"/>
  <c r="E2211" i="2"/>
  <c r="B2211" i="2"/>
  <c r="A2211" i="2"/>
  <c r="E2276" i="2"/>
  <c r="F2276" i="2"/>
  <c r="H2276" i="2" s="1"/>
  <c r="B2276" i="2"/>
  <c r="A2276" i="2"/>
  <c r="F2420" i="2"/>
  <c r="H2420" i="2" s="1"/>
  <c r="E2420" i="2"/>
  <c r="B2420" i="2"/>
  <c r="A2420" i="2"/>
  <c r="E2262" i="2"/>
  <c r="A2262" i="2"/>
  <c r="F2262" i="2"/>
  <c r="H2262" i="2" s="1"/>
  <c r="B2262" i="2"/>
  <c r="F2551" i="2"/>
  <c r="H2551" i="2" s="1"/>
  <c r="A2551" i="2"/>
  <c r="B2551" i="2"/>
  <c r="E2551" i="2"/>
  <c r="E2316" i="2"/>
  <c r="A2316" i="2"/>
  <c r="F2316" i="2"/>
  <c r="H2316" i="2" s="1"/>
  <c r="B2316" i="2"/>
  <c r="A2632" i="2"/>
  <c r="F2632" i="2"/>
  <c r="H2632" i="2" s="1"/>
  <c r="E2632" i="2"/>
  <c r="B2632" i="2"/>
  <c r="A2592" i="2"/>
  <c r="B2592" i="2"/>
  <c r="F2592" i="2"/>
  <c r="H2592" i="2" s="1"/>
  <c r="E2592" i="2"/>
  <c r="B2618" i="2"/>
  <c r="E2618" i="2"/>
  <c r="A2618" i="2"/>
  <c r="F2618" i="2"/>
  <c r="H2618" i="2" s="1"/>
  <c r="F2426" i="2"/>
  <c r="H2426" i="2" s="1"/>
  <c r="B2426" i="2"/>
  <c r="A2426" i="2"/>
  <c r="E2426" i="2"/>
  <c r="B2605" i="2"/>
  <c r="E2605" i="2"/>
  <c r="F2605" i="2"/>
  <c r="H2605" i="2" s="1"/>
  <c r="A2605" i="2"/>
  <c r="F2542" i="2"/>
  <c r="H2542" i="2" s="1"/>
  <c r="E2542" i="2"/>
  <c r="B2542" i="2"/>
  <c r="A2542" i="2"/>
  <c r="E2366" i="2"/>
  <c r="B2366" i="2"/>
  <c r="A2366" i="2"/>
  <c r="F2366" i="2"/>
  <c r="H2366" i="2" s="1"/>
  <c r="F2549" i="2"/>
  <c r="H2549" i="2" s="1"/>
  <c r="E2549" i="2"/>
  <c r="B2549" i="2"/>
  <c r="A2549" i="2"/>
  <c r="A2568" i="2"/>
  <c r="F2568" i="2"/>
  <c r="H2568" i="2" s="1"/>
  <c r="B2568" i="2"/>
  <c r="E2568" i="2"/>
  <c r="E2559" i="2"/>
  <c r="A2559" i="2"/>
  <c r="B2559" i="2"/>
  <c r="F2559" i="2"/>
  <c r="H2559" i="2" s="1"/>
  <c r="F2533" i="2"/>
  <c r="H2533" i="2" s="1"/>
  <c r="B2533" i="2"/>
  <c r="A2533" i="2"/>
  <c r="E2533" i="2"/>
  <c r="B2701" i="2"/>
  <c r="A2701" i="2"/>
  <c r="F2701" i="2"/>
  <c r="H2701" i="2" s="1"/>
  <c r="E2701" i="2"/>
  <c r="E2355" i="2"/>
  <c r="A2355" i="2"/>
  <c r="F2355" i="2"/>
  <c r="H2355" i="2" s="1"/>
  <c r="B2355" i="2"/>
  <c r="E2379" i="2"/>
  <c r="F2379" i="2"/>
  <c r="H2379" i="2" s="1"/>
  <c r="B2379" i="2"/>
  <c r="A2379" i="2"/>
  <c r="E2403" i="2"/>
  <c r="F2403" i="2"/>
  <c r="H2403" i="2" s="1"/>
  <c r="B2403" i="2"/>
  <c r="A2403" i="2"/>
  <c r="E2427" i="2"/>
  <c r="A2427" i="2"/>
  <c r="B2427" i="2"/>
  <c r="F2427" i="2"/>
  <c r="H2427" i="2" s="1"/>
  <c r="E2451" i="2"/>
  <c r="B2451" i="2"/>
  <c r="A2451" i="2"/>
  <c r="F2451" i="2"/>
  <c r="H2451" i="2" s="1"/>
  <c r="E2475" i="2"/>
  <c r="F2475" i="2"/>
  <c r="H2475" i="2" s="1"/>
  <c r="B2475" i="2"/>
  <c r="A2475" i="2"/>
  <c r="E2499" i="2"/>
  <c r="A2499" i="2"/>
  <c r="F2499" i="2"/>
  <c r="H2499" i="2" s="1"/>
  <c r="B2499" i="2"/>
  <c r="E2649" i="2"/>
  <c r="A2649" i="2"/>
  <c r="B2649" i="2"/>
  <c r="F2649" i="2"/>
  <c r="H2649" i="2" s="1"/>
  <c r="F2628" i="2"/>
  <c r="H2628" i="2" s="1"/>
  <c r="B2628" i="2"/>
  <c r="A2628" i="2"/>
  <c r="E2628" i="2"/>
  <c r="E2600" i="2"/>
  <c r="F2600" i="2"/>
  <c r="H2600" i="2" s="1"/>
  <c r="A2600" i="2"/>
  <c r="B2600" i="2"/>
  <c r="A356" i="2"/>
  <c r="E356" i="2"/>
  <c r="B356" i="2"/>
  <c r="F356" i="2"/>
  <c r="H356" i="2" s="1"/>
  <c r="B583" i="2"/>
  <c r="A583" i="2"/>
  <c r="F583" i="2"/>
  <c r="H583" i="2" s="1"/>
  <c r="E583" i="2"/>
  <c r="B1013" i="2"/>
  <c r="A1013" i="2"/>
  <c r="F1013" i="2"/>
  <c r="H1013" i="2" s="1"/>
  <c r="E1013" i="2"/>
  <c r="B32" i="2"/>
  <c r="A32" i="2"/>
  <c r="F32" i="2"/>
  <c r="H32" i="2" s="1"/>
  <c r="E32" i="2"/>
  <c r="F351" i="2"/>
  <c r="H351" i="2" s="1"/>
  <c r="E351" i="2"/>
  <c r="A351" i="2"/>
  <c r="B351" i="2"/>
  <c r="F343" i="2"/>
  <c r="H343" i="2" s="1"/>
  <c r="E343" i="2"/>
  <c r="A343" i="2"/>
  <c r="B343" i="2"/>
  <c r="B238" i="2"/>
  <c r="A238" i="2"/>
  <c r="F238" i="2"/>
  <c r="H238" i="2" s="1"/>
  <c r="E238" i="2"/>
  <c r="A412" i="2"/>
  <c r="E412" i="2"/>
  <c r="B412" i="2"/>
  <c r="F412" i="2"/>
  <c r="H412" i="2" s="1"/>
  <c r="B679" i="2"/>
  <c r="A679" i="2"/>
  <c r="F679" i="2"/>
  <c r="H679" i="2" s="1"/>
  <c r="E679" i="2"/>
  <c r="F107" i="2"/>
  <c r="H107" i="2" s="1"/>
  <c r="B107" i="2"/>
  <c r="A107" i="2"/>
  <c r="E107" i="2"/>
  <c r="B6" i="2" l="1"/>
</calcChain>
</file>

<file path=xl/sharedStrings.xml><?xml version="1.0" encoding="utf-8"?>
<sst xmlns="http://schemas.openxmlformats.org/spreadsheetml/2006/main" count="11300" uniqueCount="5568">
  <si>
    <t>School Information</t>
  </si>
  <si>
    <r>
      <rPr>
        <b/>
        <sz val="10"/>
        <color rgb="FFFF0000"/>
        <rFont val="Arial"/>
        <family val="2"/>
      </rPr>
      <t xml:space="preserve">Purpose of this workbook
</t>
    </r>
    <r>
      <rPr>
        <sz val="10"/>
        <rFont val="Arial"/>
        <family val="2"/>
      </rPr>
      <t>Use this workbook to identify the schools that will participate directly in your proposed Safe Routes to School project. NCDOT will use this information to understand the project’s reach and the economic context of the participating schools. Complete this workbook and upload it with your application.</t>
    </r>
    <r>
      <rPr>
        <b/>
        <sz val="10"/>
        <color rgb="FFFF0000"/>
        <rFont val="Arial"/>
        <family val="2"/>
      </rPr>
      <t xml:space="preserve">
</t>
    </r>
    <r>
      <rPr>
        <b/>
        <sz val="10"/>
        <rFont val="Arial"/>
        <family val="2"/>
      </rPr>
      <t xml:space="preserve">
How to complete it
</t>
    </r>
    <r>
      <rPr>
        <sz val="10"/>
        <rFont val="Arial"/>
        <family val="2"/>
      </rPr>
      <t xml:space="preserve">1. Go to the EDS Lookup tab.
2. Filter the list to your district(s) and mark Yes for each school expected to participate directly.
3. Return to this tab. The selected schools, districts, enrollment, EDS percentages, and summary totals will populate automatically.
4. For each selected school, complete the yellow School Type and Grades Served fields.
5. For a districtwide proposal, select every school the project will serve. Leave the District total row unselected. Separately copy the official district name, enrollment, and EDS percentage from that row into the yellow district summary table below. Use one row per district.
6. Review the completed information, save the workbook, and upload it with your application.
</t>
    </r>
    <r>
      <rPr>
        <b/>
        <sz val="10"/>
        <rFont val="Arial"/>
        <family val="2"/>
      </rPr>
      <t xml:space="preserve">
Only enter information in yellow cells. Do not overwrite the blue cells or calculated totals.</t>
    </r>
  </si>
  <si>
    <t>Number of Participating Schools</t>
  </si>
  <si>
    <t>Total Students Affected</t>
  </si>
  <si>
    <t>Estimated School EDS Average (%)</t>
  </si>
  <si>
    <t>Estimated school EDS average is unweighted: each selected school counts equally. For this calculation only, &lt;5 is treated as 5 and &gt;95 as 95; original values remain visible. Values marked * are excluded.</t>
  </si>
  <si>
    <t>Districtwide proposals: official district summaries (one row per district)</t>
  </si>
  <si>
    <t>District Name</t>
  </si>
  <si>
    <t>Official District Enrollment</t>
  </si>
  <si>
    <t>Official District EDS (%)</t>
  </si>
  <si>
    <t>Copy official district figures from the District total rows in EDS Lookup. Enter EDS as 59.3 for 59.3%; keep &lt;5, &gt;95, or * as shown. If more than ten districts are covered, insert additional district summary rows here.</t>
  </si>
  <si>
    <t>School Name</t>
  </si>
  <si>
    <t>District</t>
  </si>
  <si>
    <t>School Type</t>
  </si>
  <si>
    <t>Grades Served</t>
  </si>
  <si>
    <t>Enrollment</t>
  </si>
  <si>
    <t>Economically Disadvantaged Student Percentage</t>
  </si>
  <si>
    <t>Lookup position (automatic)</t>
  </si>
  <si>
    <t>EDS used in estimated average</t>
  </si>
  <si>
    <t>APR 2026 Enrollment and Economically Disadvantaged Student Lookup</t>
  </si>
  <si>
    <r>
      <rPr>
        <b/>
        <sz val="10"/>
        <color rgb="FFFF0000"/>
        <rFont val="Arial"/>
        <family val="2"/>
      </rPr>
      <t>Use this tab to select the schools participating directly in your proposed project.</t>
    </r>
    <r>
      <rPr>
        <sz val="10"/>
        <rFont val="Arial"/>
        <family val="2"/>
      </rPr>
      <t xml:space="preserve">
The enrollment and Economically Disadvantaged Student data come from the April 2026 North Carolina Department of Public Instruction data. NCDOT uses these data to understand the size and economic context of the population your project expects to serve.
</t>
    </r>
    <r>
      <rPr>
        <b/>
        <sz val="10"/>
        <rFont val="Arial"/>
        <family val="2"/>
      </rPr>
      <t xml:space="preserve">Find and select your schools: </t>
    </r>
    <r>
      <rPr>
        <sz val="10"/>
        <rFont val="Arial"/>
        <family val="2"/>
      </rPr>
      <t xml:space="preserve">
1. Click the filter arrow in the District column heading.
2. Clear the checkbox in front of "Select All".
3. Search for or scroll to your district(s), check the box beside it, and select OK.
4. Review the schools displayed for that district.
5. In the yellow "Participating?" column, select Yes for each school expected to participate directly in the proposed project.
6. Do not mark the District total row as participating, including for districtwide proposals. It is a reference for the separate district summary table.
7. If the project includes more than one district, select all districts in step 3, then mark Yes for each school participating in the project.
8. Return to "School Information" tab to review the selected schools and complete School Type and Grades Served.</t>
    </r>
  </si>
  <si>
    <r>
      <rPr>
        <i/>
        <sz val="10"/>
        <rFont val="Arial"/>
        <family val="2"/>
      </rPr>
      <t>To display all districts again, open the District filter and choose Clear Filter from District or reselect Select All.</t>
    </r>
    <r>
      <rPr>
        <sz val="10"/>
        <rFont val="Arial"/>
        <family val="2"/>
      </rPr>
      <t xml:space="preserve">
Only edit the yellow Participating? cells. Do not change the district, school, enrollment, EDS, or selection-order information.
Some EDS percentages are reported as ranges, such as &lt;5 or &gt;95, to protect student privacy. Leave these values as shown. For a districtwide proposal, copy the official District total enrollment and EDS percentage into the separate district summary table on School Information. Leave the District total row unselected.</t>
    </r>
  </si>
  <si>
    <t>Participating?</t>
  </si>
  <si>
    <t>Record Type</t>
  </si>
  <si>
    <t>School</t>
  </si>
  <si>
    <t>School Code</t>
  </si>
  <si>
    <t>EDS Percentage</t>
  </si>
  <si>
    <t>Selection Order</t>
  </si>
  <si>
    <t>A.C.E. Academy</t>
  </si>
  <si>
    <t>13C000</t>
  </si>
  <si>
    <t>Achievement Charter Academy</t>
  </si>
  <si>
    <t>43D000</t>
  </si>
  <si>
    <t>Aggie Academy</t>
  </si>
  <si>
    <t>41Z000</t>
  </si>
  <si>
    <t>&gt;95</t>
  </si>
  <si>
    <t>ALA Monroe</t>
  </si>
  <si>
    <t>90G000</t>
  </si>
  <si>
    <t>Alamance Community School</t>
  </si>
  <si>
    <t>01F000</t>
  </si>
  <si>
    <t>Alamance-Burlington Schools</t>
  </si>
  <si>
    <t>District total</t>
  </si>
  <si>
    <t>District Level</t>
  </si>
  <si>
    <t>010LEA</t>
  </si>
  <si>
    <t>ABSS Early College at ACC</t>
  </si>
  <si>
    <t>010303</t>
  </si>
  <si>
    <t>Alamance Virtual School</t>
  </si>
  <si>
    <t>010450</t>
  </si>
  <si>
    <t>Alexander Wilson Elementary</t>
  </si>
  <si>
    <t>010304</t>
  </si>
  <si>
    <t>Altamahaw-Ossipee Elementary</t>
  </si>
  <si>
    <t>010308</t>
  </si>
  <si>
    <t>Audrey W. Garrett Elementary</t>
  </si>
  <si>
    <t>010347</t>
  </si>
  <si>
    <t>B. Everett Jordan Elementary</t>
  </si>
  <si>
    <t>010346</t>
  </si>
  <si>
    <t>Broadview Middle</t>
  </si>
  <si>
    <t>010310</t>
  </si>
  <si>
    <t>E M Yoder Elementary</t>
  </si>
  <si>
    <t>010320</t>
  </si>
  <si>
    <t>Eastern Alamance High</t>
  </si>
  <si>
    <t>010324</t>
  </si>
  <si>
    <t>Eastlawn Elementary</t>
  </si>
  <si>
    <t>010326</t>
  </si>
  <si>
    <t>Edwin M Holt Elementary</t>
  </si>
  <si>
    <t>010328</t>
  </si>
  <si>
    <t>Elon Elementary</t>
  </si>
  <si>
    <t>010340</t>
  </si>
  <si>
    <t>Graham High</t>
  </si>
  <si>
    <t>010348</t>
  </si>
  <si>
    <t>Graham Middle</t>
  </si>
  <si>
    <t>010350</t>
  </si>
  <si>
    <t>Grove Park Elementary</t>
  </si>
  <si>
    <t>010351</t>
  </si>
  <si>
    <t>Harvey R Newlin Elementary</t>
  </si>
  <si>
    <t>010354</t>
  </si>
  <si>
    <t>Haw River Elementary</t>
  </si>
  <si>
    <t>010357</t>
  </si>
  <si>
    <t>Hawfields Middle</t>
  </si>
  <si>
    <t>010353</t>
  </si>
  <si>
    <t>Highland Elementary</t>
  </si>
  <si>
    <t>010312</t>
  </si>
  <si>
    <t>Hillcrest Elementary</t>
  </si>
  <si>
    <t>010358</t>
  </si>
  <si>
    <t>Hugh M Cummings High</t>
  </si>
  <si>
    <t>010360</t>
  </si>
  <si>
    <t>Marvin B Smith Elementary</t>
  </si>
  <si>
    <t>010362</t>
  </si>
  <si>
    <t>North Graham Elementary</t>
  </si>
  <si>
    <t>010364</t>
  </si>
  <si>
    <t>Pleasant Grove Elementary</t>
  </si>
  <si>
    <t>010372</t>
  </si>
  <si>
    <t>R Homer Andrews Elementary</t>
  </si>
  <si>
    <t>010374</t>
  </si>
  <si>
    <t>Ray Street Academy</t>
  </si>
  <si>
    <t>010378</t>
  </si>
  <si>
    <t>South Graham Elementary</t>
  </si>
  <si>
    <t>010380</t>
  </si>
  <si>
    <t>South Mebane Elementary</t>
  </si>
  <si>
    <t>010384</t>
  </si>
  <si>
    <t>Southeast Alamance High</t>
  </si>
  <si>
    <t>010410</t>
  </si>
  <si>
    <t>Southern Alamance High</t>
  </si>
  <si>
    <t>010388</t>
  </si>
  <si>
    <t>Southern Alamance Middle</t>
  </si>
  <si>
    <t>010390</t>
  </si>
  <si>
    <t>Sylvan Elementary</t>
  </si>
  <si>
    <t>010392</t>
  </si>
  <si>
    <t>Turrentine Middle</t>
  </si>
  <si>
    <t>010394</t>
  </si>
  <si>
    <t>Walter M Williams High</t>
  </si>
  <si>
    <t>010396</t>
  </si>
  <si>
    <t>Western Alamance High</t>
  </si>
  <si>
    <t>010400</t>
  </si>
  <si>
    <t>Western Alamance Middle</t>
  </si>
  <si>
    <t>010403</t>
  </si>
  <si>
    <t>Woodlawn Middle</t>
  </si>
  <si>
    <t>010406</t>
  </si>
  <si>
    <t>Alexander County Schools</t>
  </si>
  <si>
    <t>020LEA</t>
  </si>
  <si>
    <t>Alexander Central High</t>
  </si>
  <si>
    <t>020302</t>
  </si>
  <si>
    <t>Alexander Early College</t>
  </si>
  <si>
    <t>020303</t>
  </si>
  <si>
    <t>Bethlehem Elementary</t>
  </si>
  <si>
    <t>020304</t>
  </si>
  <si>
    <t>East Alexander Middle</t>
  </si>
  <si>
    <t>020306</t>
  </si>
  <si>
    <t>Ellendale Elementary</t>
  </si>
  <si>
    <t>020308</t>
  </si>
  <si>
    <t>Hiddenite Elementary</t>
  </si>
  <si>
    <t>020316</t>
  </si>
  <si>
    <t>Stony Point Elementary</t>
  </si>
  <si>
    <t>020320</t>
  </si>
  <si>
    <t>Sugar Loaf Elementary</t>
  </si>
  <si>
    <t>020324</t>
  </si>
  <si>
    <t>Taylorsville Elementary</t>
  </si>
  <si>
    <t>020328</t>
  </si>
  <si>
    <t>West Alexander Middle</t>
  </si>
  <si>
    <t>020330</t>
  </si>
  <si>
    <t>Wittenburg Elementary</t>
  </si>
  <si>
    <t>020332</t>
  </si>
  <si>
    <t>Alleghany County Schools</t>
  </si>
  <si>
    <t>030LEA</t>
  </si>
  <si>
    <t>Alleghany High</t>
  </si>
  <si>
    <t>030304</t>
  </si>
  <si>
    <t>Glade Creek Elementary</t>
  </si>
  <si>
    <t>030308</t>
  </si>
  <si>
    <t>Piney Creek Elementary</t>
  </si>
  <si>
    <t>030316</t>
  </si>
  <si>
    <t>Sparta Elementary</t>
  </si>
  <si>
    <t>030320</t>
  </si>
  <si>
    <t>Alpha Academy</t>
  </si>
  <si>
    <t>26B000</t>
  </si>
  <si>
    <t>American Leadership Academy - Johnston</t>
  </si>
  <si>
    <t>51C000</t>
  </si>
  <si>
    <t>American Leadership Academy Charlotte</t>
  </si>
  <si>
    <t>60N000</t>
  </si>
  <si>
    <t>American Leadership Academy-Coastal</t>
  </si>
  <si>
    <t>65F000</t>
  </si>
  <si>
    <t>American Renaissance School</t>
  </si>
  <si>
    <t>49B000</t>
  </si>
  <si>
    <t>Anderson Academy</t>
  </si>
  <si>
    <t>34L000</t>
  </si>
  <si>
    <t>Anderson Creek Academy</t>
  </si>
  <si>
    <t>43C000</t>
  </si>
  <si>
    <t>Anson County Schools</t>
  </si>
  <si>
    <t>040LEA</t>
  </si>
  <si>
    <t>Anson Co. Early College High</t>
  </si>
  <si>
    <t>040304</t>
  </si>
  <si>
    <t>Anson High School</t>
  </si>
  <si>
    <t>040306</t>
  </si>
  <si>
    <t>Anson Middle</t>
  </si>
  <si>
    <t>040309</t>
  </si>
  <si>
    <t>Ansonville Elementary</t>
  </si>
  <si>
    <t>040308</t>
  </si>
  <si>
    <t>Lilesville Elementary</t>
  </si>
  <si>
    <t>040316</t>
  </si>
  <si>
    <t>Morven Elementary</t>
  </si>
  <si>
    <t>040324</t>
  </si>
  <si>
    <t>Peachland-Polkton Elem</t>
  </si>
  <si>
    <t>040328</t>
  </si>
  <si>
    <t>Wadesboro Elementary</t>
  </si>
  <si>
    <t>040330</t>
  </si>
  <si>
    <t>Wadesboro Primary</t>
  </si>
  <si>
    <t>040311</t>
  </si>
  <si>
    <t>Appalachian Academy at Middle Fork</t>
  </si>
  <si>
    <t>34Z000</t>
  </si>
  <si>
    <t>Arapahoe Charter School</t>
  </si>
  <si>
    <t>69A000</t>
  </si>
  <si>
    <t>ArtSpace Charter School</t>
  </si>
  <si>
    <t>11B000</t>
  </si>
  <si>
    <t>Ascend Leadership Academy Lee County</t>
  </si>
  <si>
    <t>53B000</t>
  </si>
  <si>
    <t>Ascend Leadership Remote Academy</t>
  </si>
  <si>
    <t>53B310</t>
  </si>
  <si>
    <t>Ashe County Schools</t>
  </si>
  <si>
    <t>050LEA</t>
  </si>
  <si>
    <t>Ashe County Early College High</t>
  </si>
  <si>
    <t>050303</t>
  </si>
  <si>
    <t>Ashe County High</t>
  </si>
  <si>
    <t>050302</t>
  </si>
  <si>
    <t>Ashe County Middle</t>
  </si>
  <si>
    <t>050305</t>
  </si>
  <si>
    <t>Blue Ridge Elementary</t>
  </si>
  <si>
    <t>050310</t>
  </si>
  <si>
    <t>Mountain View Elementary</t>
  </si>
  <si>
    <t>050330</t>
  </si>
  <si>
    <t>Westwood Elementary</t>
  </si>
  <si>
    <t>050335</t>
  </si>
  <si>
    <t>Asheboro City Schools</t>
  </si>
  <si>
    <t>761LEA</t>
  </si>
  <si>
    <t>Asheboro High</t>
  </si>
  <si>
    <t>761304</t>
  </si>
  <si>
    <t>Balfour Elementary</t>
  </si>
  <si>
    <t>761312</t>
  </si>
  <si>
    <t>Charles W McCrary Elementary</t>
  </si>
  <si>
    <t>761320</t>
  </si>
  <si>
    <t>Donna L Loflin Elementary</t>
  </si>
  <si>
    <t>761321</t>
  </si>
  <si>
    <t>Guy B Teachey Elementary</t>
  </si>
  <si>
    <t>761328</t>
  </si>
  <si>
    <t>Lindley Park Elementary</t>
  </si>
  <si>
    <t>761332</t>
  </si>
  <si>
    <t>North Asheboro Middle</t>
  </si>
  <si>
    <t>761336</t>
  </si>
  <si>
    <t>South Asheboro Middle</t>
  </si>
  <si>
    <t>761308</t>
  </si>
  <si>
    <t>Asheville City Schools</t>
  </si>
  <si>
    <t>111LEA</t>
  </si>
  <si>
    <t>Asheville High</t>
  </si>
  <si>
    <t>111302</t>
  </si>
  <si>
    <t>Asheville Middle</t>
  </si>
  <si>
    <t>111356</t>
  </si>
  <si>
    <t>Claxton Elementary</t>
  </si>
  <si>
    <t>111312</t>
  </si>
  <si>
    <t>Hall Fletcher Elementary</t>
  </si>
  <si>
    <t>111304</t>
  </si>
  <si>
    <t>Ira B Jones Elementary</t>
  </si>
  <si>
    <t>111332</t>
  </si>
  <si>
    <t>Isaac Dickson Elementary</t>
  </si>
  <si>
    <t>111306</t>
  </si>
  <si>
    <t>Lucy S. Herring Elementary</t>
  </si>
  <si>
    <t>111360</t>
  </si>
  <si>
    <t>SILSA</t>
  </si>
  <si>
    <t>111700</t>
  </si>
  <si>
    <t>Asheville PEAK Academy</t>
  </si>
  <si>
    <t>11F000</t>
  </si>
  <si>
    <t>Aspire Trade High</t>
  </si>
  <si>
    <t>62N000</t>
  </si>
  <si>
    <t>Avery County Schools</t>
  </si>
  <si>
    <t>060LEA</t>
  </si>
  <si>
    <t>Avery County High</t>
  </si>
  <si>
    <t>060302</t>
  </si>
  <si>
    <t>Avery Middle</t>
  </si>
  <si>
    <t>060318</t>
  </si>
  <si>
    <t>Banner Elk Elementary</t>
  </si>
  <si>
    <t>060304</t>
  </si>
  <si>
    <t>Cranberry Middle</t>
  </si>
  <si>
    <t>060310</t>
  </si>
  <si>
    <t>Crossnore Elementary</t>
  </si>
  <si>
    <t>060316</t>
  </si>
  <si>
    <t>Freedom Trail Elementary</t>
  </si>
  <si>
    <t>060322</t>
  </si>
  <si>
    <t>Newland Elementary</t>
  </si>
  <si>
    <t>060328</t>
  </si>
  <si>
    <t>Riverside Elementary</t>
  </si>
  <si>
    <t>060332</t>
  </si>
  <si>
    <t>Bear Grass Charter School</t>
  </si>
  <si>
    <t>58B000</t>
  </si>
  <si>
    <t>Beaufort County Schools</t>
  </si>
  <si>
    <t>070LEA</t>
  </si>
  <si>
    <t>Bath Elementary</t>
  </si>
  <si>
    <t>070308</t>
  </si>
  <si>
    <t>Beaufort Co Early College High</t>
  </si>
  <si>
    <t>070311</t>
  </si>
  <si>
    <t>Chocowinity Middle</t>
  </si>
  <si>
    <t>070325</t>
  </si>
  <si>
    <t>Chocowinity Primary</t>
  </si>
  <si>
    <t>070326</t>
  </si>
  <si>
    <t>Eastern Elementary</t>
  </si>
  <si>
    <t>070302</t>
  </si>
  <si>
    <t>John C Tayloe Elementary</t>
  </si>
  <si>
    <t>070327</t>
  </si>
  <si>
    <t>John Small Elementary</t>
  </si>
  <si>
    <t>070328</t>
  </si>
  <si>
    <t>Northeast Elementary</t>
  </si>
  <si>
    <t>070329</t>
  </si>
  <si>
    <t>Northside High</t>
  </si>
  <si>
    <t>070330</t>
  </si>
  <si>
    <t>P S Jones Middle</t>
  </si>
  <si>
    <t>070338</t>
  </si>
  <si>
    <t>Southside High</t>
  </si>
  <si>
    <t>070339</t>
  </si>
  <si>
    <t>Washington High</t>
  </si>
  <si>
    <t>070342</t>
  </si>
  <si>
    <t>Bertie County Schools</t>
  </si>
  <si>
    <t>080LEA</t>
  </si>
  <si>
    <t>Bertie Early College High</t>
  </si>
  <si>
    <t>080311</t>
  </si>
  <si>
    <t>Bertie High</t>
  </si>
  <si>
    <t>080312</t>
  </si>
  <si>
    <t>Bertie Middle</t>
  </si>
  <si>
    <t>080314</t>
  </si>
  <si>
    <t>Colerain Elementary</t>
  </si>
  <si>
    <t>080360</t>
  </si>
  <si>
    <t>West Bertie Elementary</t>
  </si>
  <si>
    <t>080356</t>
  </si>
  <si>
    <t>Windsor Elementary</t>
  </si>
  <si>
    <t>080362</t>
  </si>
  <si>
    <t>Bethany Community School</t>
  </si>
  <si>
    <t>79A000</t>
  </si>
  <si>
    <t>Bethel Hill Charter</t>
  </si>
  <si>
    <t>73A000</t>
  </si>
  <si>
    <t>Bladen County Schools</t>
  </si>
  <si>
    <t>090LEA</t>
  </si>
  <si>
    <t>Bladen Early College</t>
  </si>
  <si>
    <t>090376</t>
  </si>
  <si>
    <t>Bladen Lakes Primary</t>
  </si>
  <si>
    <t>090318</t>
  </si>
  <si>
    <t>Bladenboro Middle</t>
  </si>
  <si>
    <t>090315</t>
  </si>
  <si>
    <t>Bladenboro Primary</t>
  </si>
  <si>
    <t>090317</t>
  </si>
  <si>
    <t>Clarkton School of Discovery</t>
  </si>
  <si>
    <t>090320</t>
  </si>
  <si>
    <t>Dublin Primary</t>
  </si>
  <si>
    <t>090324</t>
  </si>
  <si>
    <t>East Arcadia Elementary</t>
  </si>
  <si>
    <t>090328</t>
  </si>
  <si>
    <t>East Bladen High</t>
  </si>
  <si>
    <t>090330</t>
  </si>
  <si>
    <t>Elizabethtown Middle</t>
  </si>
  <si>
    <t>090332</t>
  </si>
  <si>
    <t>Elizabethtown Primary</t>
  </si>
  <si>
    <t>090333</t>
  </si>
  <si>
    <t>Tar Heel School</t>
  </si>
  <si>
    <t>090365</t>
  </si>
  <si>
    <t>West Bladen High</t>
  </si>
  <si>
    <t>090368</t>
  </si>
  <si>
    <t>Bonnie Cone Classical Academy</t>
  </si>
  <si>
    <t>61V000</t>
  </si>
  <si>
    <t>Bonnie Cone Leadership Academy</t>
  </si>
  <si>
    <t>62M000</t>
  </si>
  <si>
    <t>Bradford Preparatory School</t>
  </si>
  <si>
    <t>60S000</t>
  </si>
  <si>
    <t>Brevard Academy</t>
  </si>
  <si>
    <t>88A000</t>
  </si>
  <si>
    <t>Brunswick County Schools</t>
  </si>
  <si>
    <t>100LEA</t>
  </si>
  <si>
    <t>Belville Elementary</t>
  </si>
  <si>
    <t>100302</t>
  </si>
  <si>
    <t>Bolivia Elementary</t>
  </si>
  <si>
    <t>100304</t>
  </si>
  <si>
    <t>Brunswick County Early College</t>
  </si>
  <si>
    <t>100307</t>
  </si>
  <si>
    <t>Cedar Grove Middle</t>
  </si>
  <si>
    <t>100309</t>
  </si>
  <si>
    <t>Jessie Mae Monroe Elementary</t>
  </si>
  <si>
    <t>100310</t>
  </si>
  <si>
    <t>Leland Middle</t>
  </si>
  <si>
    <t>100316</t>
  </si>
  <si>
    <t>Lincoln Elementary</t>
  </si>
  <si>
    <t>100320</t>
  </si>
  <si>
    <t>North Brunswick High</t>
  </si>
  <si>
    <t>100326</t>
  </si>
  <si>
    <t>Shallotte Middle</t>
  </si>
  <si>
    <t>100332</t>
  </si>
  <si>
    <t>South Brunswick High</t>
  </si>
  <si>
    <t>100334</t>
  </si>
  <si>
    <t>South Brunswick Middle</t>
  </si>
  <si>
    <t>100335</t>
  </si>
  <si>
    <t>Southport Elementary</t>
  </si>
  <si>
    <t>100336</t>
  </si>
  <si>
    <t>Supply Elementary</t>
  </si>
  <si>
    <t>100338</t>
  </si>
  <si>
    <t>The COAST</t>
  </si>
  <si>
    <t>100308</t>
  </si>
  <si>
    <t>Town Creek Elementary</t>
  </si>
  <si>
    <t>100339</t>
  </si>
  <si>
    <t>Town Creek Middle</t>
  </si>
  <si>
    <t>100341</t>
  </si>
  <si>
    <t>Union Elementary</t>
  </si>
  <si>
    <t>100340</t>
  </si>
  <si>
    <t>Virginia Williamson Elem</t>
  </si>
  <si>
    <t>100342</t>
  </si>
  <si>
    <t>Waccamaw</t>
  </si>
  <si>
    <t>100344</t>
  </si>
  <si>
    <t>West Brunswick High</t>
  </si>
  <si>
    <t>100348</t>
  </si>
  <si>
    <t>Buncombe County Schools</t>
  </si>
  <si>
    <t>110LEA</t>
  </si>
  <si>
    <t>Avery's Creek Elementary</t>
  </si>
  <si>
    <t>110410</t>
  </si>
  <si>
    <t>Barnardsville Elementary</t>
  </si>
  <si>
    <t>110308</t>
  </si>
  <si>
    <t>Bell Elementary</t>
  </si>
  <si>
    <t>110332</t>
  </si>
  <si>
    <t>Black Mountain Elementary</t>
  </si>
  <si>
    <t>110318</t>
  </si>
  <si>
    <t>Black Mountain Primary</t>
  </si>
  <si>
    <t>110320</t>
  </si>
  <si>
    <t>Buncombe County Schools Virtual Academy</t>
  </si>
  <si>
    <t>110475</t>
  </si>
  <si>
    <t>Candler Elementary</t>
  </si>
  <si>
    <t>110324</t>
  </si>
  <si>
    <t>Cane Creek Middle</t>
  </si>
  <si>
    <t>110326</t>
  </si>
  <si>
    <t>Center for Career Innovation</t>
  </si>
  <si>
    <t>110323</t>
  </si>
  <si>
    <t>Community High School</t>
  </si>
  <si>
    <t>110303</t>
  </si>
  <si>
    <t>Early College</t>
  </si>
  <si>
    <t>110322</t>
  </si>
  <si>
    <t>Eblen Intermediate</t>
  </si>
  <si>
    <t>110451</t>
  </si>
  <si>
    <t>Emma Elementary</t>
  </si>
  <si>
    <t>110348</t>
  </si>
  <si>
    <t>Enka High</t>
  </si>
  <si>
    <t>110352</t>
  </si>
  <si>
    <t>Enka Intermediate</t>
  </si>
  <si>
    <t>110425</t>
  </si>
  <si>
    <t>Enka Middle</t>
  </si>
  <si>
    <t>110401</t>
  </si>
  <si>
    <t>Erwin High</t>
  </si>
  <si>
    <t>110340</t>
  </si>
  <si>
    <t>Erwin Middle</t>
  </si>
  <si>
    <t>110342</t>
  </si>
  <si>
    <t>Estes Elementary</t>
  </si>
  <si>
    <t>110422</t>
  </si>
  <si>
    <t>Fairview Elementary</t>
  </si>
  <si>
    <t>110356</t>
  </si>
  <si>
    <t>Glen Arden Elementary</t>
  </si>
  <si>
    <t>110366</t>
  </si>
  <si>
    <t>Haw Creek Elementary</t>
  </si>
  <si>
    <t>110368</t>
  </si>
  <si>
    <t>Hominy Valley Elementary</t>
  </si>
  <si>
    <t>110370</t>
  </si>
  <si>
    <t>Johnston Elementary</t>
  </si>
  <si>
    <t>110372</t>
  </si>
  <si>
    <t>Koontz Intermediate</t>
  </si>
  <si>
    <t>110450</t>
  </si>
  <si>
    <t>Leicester Elementary</t>
  </si>
  <si>
    <t>110376</t>
  </si>
  <si>
    <t>Nesbitt Discovery Academy</t>
  </si>
  <si>
    <t>110500</t>
  </si>
  <si>
    <t>North Buncombe Elementary</t>
  </si>
  <si>
    <t>110379</t>
  </si>
  <si>
    <t>North Buncombe High</t>
  </si>
  <si>
    <t>110380</t>
  </si>
  <si>
    <t>North Buncombe Middle</t>
  </si>
  <si>
    <t>110381</t>
  </si>
  <si>
    <t>North Windy Ridge Intermediate</t>
  </si>
  <si>
    <t>110382</t>
  </si>
  <si>
    <t>Oakley Elementary</t>
  </si>
  <si>
    <t>110384</t>
  </si>
  <si>
    <t>Owen High</t>
  </si>
  <si>
    <t>110336</t>
  </si>
  <si>
    <t>Owen Middle</t>
  </si>
  <si>
    <t>110338</t>
  </si>
  <si>
    <t>Pisgah Elementary</t>
  </si>
  <si>
    <t>110388</t>
  </si>
  <si>
    <t>Reynolds High</t>
  </si>
  <si>
    <t>110304</t>
  </si>
  <si>
    <t>Reynolds Middle</t>
  </si>
  <si>
    <t>110306</t>
  </si>
  <si>
    <t>Roberson High</t>
  </si>
  <si>
    <t>110416</t>
  </si>
  <si>
    <t>Sand Hill-Venable Elem</t>
  </si>
  <si>
    <t>110408</t>
  </si>
  <si>
    <t>Valley Springs Middle</t>
  </si>
  <si>
    <t>110420</t>
  </si>
  <si>
    <t>Weaverville Elementary</t>
  </si>
  <si>
    <t>110428</t>
  </si>
  <si>
    <t>Weaverville Primary</t>
  </si>
  <si>
    <t>110432</t>
  </si>
  <si>
    <t>West Buncombe Elementary</t>
  </si>
  <si>
    <t>110436</t>
  </si>
  <si>
    <t>Williams Elementary</t>
  </si>
  <si>
    <t>110412</t>
  </si>
  <si>
    <t>Woodfin Elementary</t>
  </si>
  <si>
    <t>110444</t>
  </si>
  <si>
    <t>Burke County Schools</t>
  </si>
  <si>
    <t>120LEA</t>
  </si>
  <si>
    <t>Burke Middle College</t>
  </si>
  <si>
    <t>120310</t>
  </si>
  <si>
    <t>Draughn High School</t>
  </si>
  <si>
    <t>120346</t>
  </si>
  <si>
    <t>Drexel Elementary</t>
  </si>
  <si>
    <t>120312</t>
  </si>
  <si>
    <t>East Burke High</t>
  </si>
  <si>
    <t>120314</t>
  </si>
  <si>
    <t>East Burke Middle</t>
  </si>
  <si>
    <t>120315</t>
  </si>
  <si>
    <t>Forest Hill Elementary</t>
  </si>
  <si>
    <t>120316</t>
  </si>
  <si>
    <t>Freedom High</t>
  </si>
  <si>
    <t>120318</t>
  </si>
  <si>
    <t>George Hildebrand Elementary</t>
  </si>
  <si>
    <t>120320</t>
  </si>
  <si>
    <t>Glen Alpine Elementary</t>
  </si>
  <si>
    <t>120324</t>
  </si>
  <si>
    <t>Hallyburton Academy</t>
  </si>
  <si>
    <t>120308</t>
  </si>
  <si>
    <t>Heritage Middle</t>
  </si>
  <si>
    <t>120334</t>
  </si>
  <si>
    <t>Hildebran Elementary</t>
  </si>
  <si>
    <t>120338</t>
  </si>
  <si>
    <t>120340</t>
  </si>
  <si>
    <t>Icard Elementary</t>
  </si>
  <si>
    <t>120344</t>
  </si>
  <si>
    <t>Liberty Middle</t>
  </si>
  <si>
    <t>120350</t>
  </si>
  <si>
    <t>120354</t>
  </si>
  <si>
    <t>Mull Elementary</t>
  </si>
  <si>
    <t>120360</t>
  </si>
  <si>
    <t>North Liberty</t>
  </si>
  <si>
    <t>120352</t>
  </si>
  <si>
    <t>Oak Hill Elementary</t>
  </si>
  <si>
    <t>120364</t>
  </si>
  <si>
    <t>Patton High School</t>
  </si>
  <si>
    <t>120370</t>
  </si>
  <si>
    <t>Ray Childers Elementary</t>
  </si>
  <si>
    <t>120368</t>
  </si>
  <si>
    <t>Salem Elementary</t>
  </si>
  <si>
    <t>120374</t>
  </si>
  <si>
    <t>Table Rock Middle</t>
  </si>
  <si>
    <t>120376</t>
  </si>
  <si>
    <t>Valdese Elementary</t>
  </si>
  <si>
    <t>120380</t>
  </si>
  <si>
    <t>W A Young Elementary</t>
  </si>
  <si>
    <t>120386</t>
  </si>
  <si>
    <t>Walter R Johnson Middle</t>
  </si>
  <si>
    <t>120390</t>
  </si>
  <si>
    <t>Cabarrus County Schools</t>
  </si>
  <si>
    <t>130LEA</t>
  </si>
  <si>
    <t>A T Allen Elementary</t>
  </si>
  <si>
    <t>130304</t>
  </si>
  <si>
    <t>Bethel Elementary</t>
  </si>
  <si>
    <t>130308</t>
  </si>
  <si>
    <t>C C Griffin Middle</t>
  </si>
  <si>
    <t>130318</t>
  </si>
  <si>
    <t>Cabarrus Co Opportunity School</t>
  </si>
  <si>
    <t>130317</t>
  </si>
  <si>
    <t>Cabarrus County Schools Virtual Academy</t>
  </si>
  <si>
    <t>130356</t>
  </si>
  <si>
    <t>Cabarrus Early College of Technology</t>
  </si>
  <si>
    <t>130349</t>
  </si>
  <si>
    <t>Cabarrus Health Sciences Institute</t>
  </si>
  <si>
    <t>130348</t>
  </si>
  <si>
    <t>Cabarrus-Kannapolis Early Coll</t>
  </si>
  <si>
    <t>130350</t>
  </si>
  <si>
    <t>Carl A Furr Elementary</t>
  </si>
  <si>
    <t>130321</t>
  </si>
  <si>
    <t>Central Cabarrus High</t>
  </si>
  <si>
    <t>130310</t>
  </si>
  <si>
    <t>Charles E Boger Elementary</t>
  </si>
  <si>
    <t>130325</t>
  </si>
  <si>
    <t>Coltrane-Webb Elementary</t>
  </si>
  <si>
    <t>130311</t>
  </si>
  <si>
    <t>Concord High</t>
  </si>
  <si>
    <t>130314</t>
  </si>
  <si>
    <t>Concord Middle</t>
  </si>
  <si>
    <t>130313</t>
  </si>
  <si>
    <t>Cox Mill Elementary</t>
  </si>
  <si>
    <t>130319</t>
  </si>
  <si>
    <t>Cox Mill High School</t>
  </si>
  <si>
    <t>130307</t>
  </si>
  <si>
    <t>Harold E. Winkler Middle</t>
  </si>
  <si>
    <t>130355</t>
  </si>
  <si>
    <t>Harris Road Middle</t>
  </si>
  <si>
    <t>130320</t>
  </si>
  <si>
    <t>Harrisburg Elementary</t>
  </si>
  <si>
    <t>130312</t>
  </si>
  <si>
    <t>Hickory Ridge Elementary</t>
  </si>
  <si>
    <t>130347</t>
  </si>
  <si>
    <t>Hickory Ridge High</t>
  </si>
  <si>
    <t>130332</t>
  </si>
  <si>
    <t>Hickory Ridge Middle</t>
  </si>
  <si>
    <t>130346</t>
  </si>
  <si>
    <t>J N Fries Magnet School</t>
  </si>
  <si>
    <t>130315</t>
  </si>
  <si>
    <t>Jay M Robinson High</t>
  </si>
  <si>
    <t>130316</t>
  </si>
  <si>
    <t>Mount Pleasant Elementary</t>
  </si>
  <si>
    <t>130322</t>
  </si>
  <si>
    <t>Mount Pleasant High</t>
  </si>
  <si>
    <t>130324</t>
  </si>
  <si>
    <t>Mount Pleasant Middle</t>
  </si>
  <si>
    <t>130323</t>
  </si>
  <si>
    <t>Northwest Cabarrus High</t>
  </si>
  <si>
    <t>130326</t>
  </si>
  <si>
    <t>Northwest Cabarrus Middle</t>
  </si>
  <si>
    <t>130327</t>
  </si>
  <si>
    <t>Patriots Elementary</t>
  </si>
  <si>
    <t>130345</t>
  </si>
  <si>
    <t>Performance Learning Center</t>
  </si>
  <si>
    <t>130333</t>
  </si>
  <si>
    <t>Pitts School Road Elementary</t>
  </si>
  <si>
    <t>130331</t>
  </si>
  <si>
    <t>R Brown McAllister Elementary</t>
  </si>
  <si>
    <t>130330</t>
  </si>
  <si>
    <t>Roberta Road Middle</t>
  </si>
  <si>
    <t>130357</t>
  </si>
  <si>
    <t>Rocky River Elementary</t>
  </si>
  <si>
    <t>130329</t>
  </si>
  <si>
    <t>Royal Oaks School of the Arts</t>
  </si>
  <si>
    <t>130328</t>
  </si>
  <si>
    <t>W M Irvin Elementary</t>
  </si>
  <si>
    <t>130342</t>
  </si>
  <si>
    <t>W R Odell Elementary</t>
  </si>
  <si>
    <t>130337</t>
  </si>
  <si>
    <t>W R Odell Primary</t>
  </si>
  <si>
    <t>130336</t>
  </si>
  <si>
    <t>Weddington Hills Elementary</t>
  </si>
  <si>
    <t>130338</t>
  </si>
  <si>
    <t>West Cabarrus High</t>
  </si>
  <si>
    <t>130339</t>
  </si>
  <si>
    <t>Winecoff Elementary</t>
  </si>
  <si>
    <t>130340</t>
  </si>
  <si>
    <t>Wolf Meadow Elementary</t>
  </si>
  <si>
    <t>130344</t>
  </si>
  <si>
    <t>Caldwell County Schools</t>
  </si>
  <si>
    <t>140LEA</t>
  </si>
  <si>
    <t>Baton Elementary</t>
  </si>
  <si>
    <t>140304</t>
  </si>
  <si>
    <t>Caldwell Applied Sciences Academy</t>
  </si>
  <si>
    <t>140305</t>
  </si>
  <si>
    <t>Caldwell Early College</t>
  </si>
  <si>
    <t>140309</t>
  </si>
  <si>
    <t>Caldwell Online Academy</t>
  </si>
  <si>
    <t>140313</t>
  </si>
  <si>
    <t>Collettsville School</t>
  </si>
  <si>
    <t>140308</t>
  </si>
  <si>
    <t>Davenport A+ School</t>
  </si>
  <si>
    <t>140312</t>
  </si>
  <si>
    <t>Dudley Shoals Elementary</t>
  </si>
  <si>
    <t>140316</t>
  </si>
  <si>
    <t>Gamewell Elementary</t>
  </si>
  <si>
    <t>140324</t>
  </si>
  <si>
    <t>Gamewell Middle</t>
  </si>
  <si>
    <t>140332</t>
  </si>
  <si>
    <t>Gateway School</t>
  </si>
  <si>
    <t>140306</t>
  </si>
  <si>
    <t>Granite Falls Elementary</t>
  </si>
  <si>
    <t>140340</t>
  </si>
  <si>
    <t>Granite Falls Middle</t>
  </si>
  <si>
    <t>140336</t>
  </si>
  <si>
    <t>Happy Valley Elementary</t>
  </si>
  <si>
    <t>140344</t>
  </si>
  <si>
    <t>Hibriten High</t>
  </si>
  <si>
    <t>140348</t>
  </si>
  <si>
    <t>Horizons Elementary</t>
  </si>
  <si>
    <t>140307</t>
  </si>
  <si>
    <t>Hudson Elementary</t>
  </si>
  <si>
    <t>140352</t>
  </si>
  <si>
    <t>Hudson Middle</t>
  </si>
  <si>
    <t>140356</t>
  </si>
  <si>
    <t>Kings Creek Elementary</t>
  </si>
  <si>
    <t>140360</t>
  </si>
  <si>
    <t>Lower Creek Elementary</t>
  </si>
  <si>
    <t>140372</t>
  </si>
  <si>
    <t>Sawmills Elementary</t>
  </si>
  <si>
    <t>140384</t>
  </si>
  <si>
    <t>South Caldwell High</t>
  </si>
  <si>
    <t>140386</t>
  </si>
  <si>
    <t>Valmead Elementary</t>
  </si>
  <si>
    <t>140388</t>
  </si>
  <si>
    <t>West Caldwell High</t>
  </si>
  <si>
    <t>140390</t>
  </si>
  <si>
    <t>Whitnel Elementary</t>
  </si>
  <si>
    <t>140396</t>
  </si>
  <si>
    <t>William Lenoir Middle</t>
  </si>
  <si>
    <t>140368</t>
  </si>
  <si>
    <t>Camden County Schools</t>
  </si>
  <si>
    <t>150LEA</t>
  </si>
  <si>
    <t>Camden County High</t>
  </si>
  <si>
    <t>150304</t>
  </si>
  <si>
    <t>Camden Early College High</t>
  </si>
  <si>
    <t>150350</t>
  </si>
  <si>
    <t>Camden Intermediate</t>
  </si>
  <si>
    <t>150310</t>
  </si>
  <si>
    <t>Camden Middle</t>
  </si>
  <si>
    <t>150312</t>
  </si>
  <si>
    <t>Grandy Primary</t>
  </si>
  <si>
    <t>150308</t>
  </si>
  <si>
    <t>Cape Fear Center for Inquiry</t>
  </si>
  <si>
    <t>65A000</t>
  </si>
  <si>
    <t>Cardinal Charter Acad at Wendell Falls</t>
  </si>
  <si>
    <t>93T000</t>
  </si>
  <si>
    <t>Cardinal Charter Academy</t>
  </si>
  <si>
    <t>92W000</t>
  </si>
  <si>
    <t>Carolina Achieve</t>
  </si>
  <si>
    <t>68F000</t>
  </si>
  <si>
    <t>Carolina Charter Academy</t>
  </si>
  <si>
    <t>93Q000</t>
  </si>
  <si>
    <t>Carolina Community Academy</t>
  </si>
  <si>
    <t>73Z000</t>
  </si>
  <si>
    <t>Carolina International School</t>
  </si>
  <si>
    <t>13A000</t>
  </si>
  <si>
    <t>Carter G. Woodson School</t>
  </si>
  <si>
    <t>34D000</t>
  </si>
  <si>
    <t>Carteret County Public Schools</t>
  </si>
  <si>
    <t>160LEA</t>
  </si>
  <si>
    <t>Atlantic Elementary</t>
  </si>
  <si>
    <t>160304</t>
  </si>
  <si>
    <t>Beaufort Elementary</t>
  </si>
  <si>
    <t>160308</t>
  </si>
  <si>
    <t>Beaufort Middle</t>
  </si>
  <si>
    <t>160310</t>
  </si>
  <si>
    <t>Bogue Sound Elementary</t>
  </si>
  <si>
    <t>160306</t>
  </si>
  <si>
    <t>Bridges School</t>
  </si>
  <si>
    <t>160309</t>
  </si>
  <si>
    <t>Broad Creek Middle</t>
  </si>
  <si>
    <t>160311</t>
  </si>
  <si>
    <t>Croatan High</t>
  </si>
  <si>
    <t>160314</t>
  </si>
  <si>
    <t>Down East Middle and Smyrna Elementary</t>
  </si>
  <si>
    <t>160332</t>
  </si>
  <si>
    <t>East Carteret High</t>
  </si>
  <si>
    <t>160313</t>
  </si>
  <si>
    <t>Harkers Island Elementary</t>
  </si>
  <si>
    <t>160316</t>
  </si>
  <si>
    <t>Morehead City Middle</t>
  </si>
  <si>
    <t>160318</t>
  </si>
  <si>
    <t>Morehead City Primary</t>
  </si>
  <si>
    <t>160322</t>
  </si>
  <si>
    <t>Morehead Elem at Camp Glenn</t>
  </si>
  <si>
    <t>160317</t>
  </si>
  <si>
    <t>Newport Elementary</t>
  </si>
  <si>
    <t>160324</t>
  </si>
  <si>
    <t>Newport Middle</t>
  </si>
  <si>
    <t>160326</t>
  </si>
  <si>
    <t>West Carteret High</t>
  </si>
  <si>
    <t>160344</t>
  </si>
  <si>
    <t>White Oak Elementary</t>
  </si>
  <si>
    <t>160352</t>
  </si>
  <si>
    <t>Casa Esperanza Montessori Charter School</t>
  </si>
  <si>
    <t>92R000</t>
  </si>
  <si>
    <t>Caswell County Schools</t>
  </si>
  <si>
    <t>170LEA</t>
  </si>
  <si>
    <t>Bartlett Yancey High</t>
  </si>
  <si>
    <t>170316</t>
  </si>
  <si>
    <t>N L Dillard Middle</t>
  </si>
  <si>
    <t>170338</t>
  </si>
  <si>
    <t>North Elementary</t>
  </si>
  <si>
    <t>170334</t>
  </si>
  <si>
    <t>Oakwood Elementary</t>
  </si>
  <si>
    <t>170339</t>
  </si>
  <si>
    <t>South Elementary</t>
  </si>
  <si>
    <t>170342</t>
  </si>
  <si>
    <t>Stoney Creek Elementary</t>
  </si>
  <si>
    <t>170344</t>
  </si>
  <si>
    <t>Catamount School</t>
  </si>
  <si>
    <t>50Z000</t>
  </si>
  <si>
    <t>Catawba County Schools</t>
  </si>
  <si>
    <t>180LEA</t>
  </si>
  <si>
    <t>Balls Creek Elementary</t>
  </si>
  <si>
    <t>180304</t>
  </si>
  <si>
    <t>Bandys High</t>
  </si>
  <si>
    <t>180308</t>
  </si>
  <si>
    <t>Banoak Elementary</t>
  </si>
  <si>
    <t>180312</t>
  </si>
  <si>
    <t>Blackburn Elementary</t>
  </si>
  <si>
    <t>180316</t>
  </si>
  <si>
    <t>Bunker Hill High</t>
  </si>
  <si>
    <t>180320</t>
  </si>
  <si>
    <t>Catawba Elementary School</t>
  </si>
  <si>
    <t>180324</t>
  </si>
  <si>
    <t>Catawba Rosenwald Education Center</t>
  </si>
  <si>
    <t>180323</t>
  </si>
  <si>
    <t>Challenger Early College High</t>
  </si>
  <si>
    <t>180325</t>
  </si>
  <si>
    <t>Charles H Tuttle Elementary</t>
  </si>
  <si>
    <t>180326</t>
  </si>
  <si>
    <t>Claremont Elementary</t>
  </si>
  <si>
    <t>180332</t>
  </si>
  <si>
    <t>Clyde Campbell Elementary</t>
  </si>
  <si>
    <t>180336</t>
  </si>
  <si>
    <t>Fred T Foard High</t>
  </si>
  <si>
    <t>180340</t>
  </si>
  <si>
    <t>Harry M Arndt Middle</t>
  </si>
  <si>
    <t>180302</t>
  </si>
  <si>
    <t>Jacobs Fork Middle</t>
  </si>
  <si>
    <t>180342</t>
  </si>
  <si>
    <t>Lyle Creek Elementary</t>
  </si>
  <si>
    <t>180343</t>
  </si>
  <si>
    <t>Maiden Elementary</t>
  </si>
  <si>
    <t>180344</t>
  </si>
  <si>
    <t>Maiden High</t>
  </si>
  <si>
    <t>180348</t>
  </si>
  <si>
    <t>Maiden Middle School</t>
  </si>
  <si>
    <t>180346</t>
  </si>
  <si>
    <t>Mill Creek Middle</t>
  </si>
  <si>
    <t>180352</t>
  </si>
  <si>
    <t>180356</t>
  </si>
  <si>
    <t>Oxford Elementary</t>
  </si>
  <si>
    <t>180360</t>
  </si>
  <si>
    <t>River Bend Middle</t>
  </si>
  <si>
    <t>180364</t>
  </si>
  <si>
    <t>Saint Stephens Elementary</t>
  </si>
  <si>
    <t>180372</t>
  </si>
  <si>
    <t>Saint Stephens High</t>
  </si>
  <si>
    <t>180376</t>
  </si>
  <si>
    <t>Sherrills Ford Elementary</t>
  </si>
  <si>
    <t>180368</t>
  </si>
  <si>
    <t>Snow Creek Elementary</t>
  </si>
  <si>
    <t>180379</t>
  </si>
  <si>
    <t>Startown Elementary</t>
  </si>
  <si>
    <t>180380</t>
  </si>
  <si>
    <t>Webb A Murray Elementary</t>
  </si>
  <si>
    <t>180388</t>
  </si>
  <si>
    <t>Central Carolina Academy</t>
  </si>
  <si>
    <t>53D000</t>
  </si>
  <si>
    <t>Central Park School For Children</t>
  </si>
  <si>
    <t>32K000</t>
  </si>
  <si>
    <t>Central Wake High School</t>
  </si>
  <si>
    <t>93L000</t>
  </si>
  <si>
    <t>Chapel Hill-Carrboro City Schools</t>
  </si>
  <si>
    <t>681LEA</t>
  </si>
  <si>
    <t>Carrboro Elementary</t>
  </si>
  <si>
    <t>681304</t>
  </si>
  <si>
    <t>Carrboro High</t>
  </si>
  <si>
    <t>681305</t>
  </si>
  <si>
    <t>Chapel Hill High</t>
  </si>
  <si>
    <t>681308</t>
  </si>
  <si>
    <t>Culbreth Middle</t>
  </si>
  <si>
    <t>681322</t>
  </si>
  <si>
    <t>East Chapel Hill High</t>
  </si>
  <si>
    <t>681314</t>
  </si>
  <si>
    <t>Ephesus Elementary</t>
  </si>
  <si>
    <t>681311</t>
  </si>
  <si>
    <t>Estes Hills Elementary</t>
  </si>
  <si>
    <t>681312</t>
  </si>
  <si>
    <t>FPG Elementary</t>
  </si>
  <si>
    <t>681316</t>
  </si>
  <si>
    <t>Glenwood Elementary</t>
  </si>
  <si>
    <t>681320</t>
  </si>
  <si>
    <t>McDougle Elementary</t>
  </si>
  <si>
    <t>681326</t>
  </si>
  <si>
    <t>McDougle Middle</t>
  </si>
  <si>
    <t>681309</t>
  </si>
  <si>
    <t>Morris Grove Elementary</t>
  </si>
  <si>
    <t>681332</t>
  </si>
  <si>
    <t>Northside Elementary</t>
  </si>
  <si>
    <t>681300</t>
  </si>
  <si>
    <t>Phillips Middle</t>
  </si>
  <si>
    <t>681324</t>
  </si>
  <si>
    <t>Phoenix Academy High</t>
  </si>
  <si>
    <t>681338</t>
  </si>
  <si>
    <t>Rashkis Elementary</t>
  </si>
  <si>
    <t>681334</t>
  </si>
  <si>
    <t>Scroggs Elementary</t>
  </si>
  <si>
    <t>681330</t>
  </si>
  <si>
    <t>Seawell Elementary</t>
  </si>
  <si>
    <t>681310</t>
  </si>
  <si>
    <t>Smith Middle</t>
  </si>
  <si>
    <t>681336</t>
  </si>
  <si>
    <t>Charlotte Lab School</t>
  </si>
  <si>
    <t>61M000</t>
  </si>
  <si>
    <t>Charlotte Secondary</t>
  </si>
  <si>
    <t>60K000</t>
  </si>
  <si>
    <t>Charlotte-Mecklenburg Schools</t>
  </si>
  <si>
    <t>600LEA</t>
  </si>
  <si>
    <t>Albemarle Road Elementary</t>
  </si>
  <si>
    <t>600300</t>
  </si>
  <si>
    <t>Albemarle Road Middle</t>
  </si>
  <si>
    <t>600301</t>
  </si>
  <si>
    <t>Alexander Graham Middle</t>
  </si>
  <si>
    <t>600399</t>
  </si>
  <si>
    <t>Allenbrook Elementary</t>
  </si>
  <si>
    <t>600308</t>
  </si>
  <si>
    <t>Ardrey Kell High School</t>
  </si>
  <si>
    <t>600302</t>
  </si>
  <si>
    <t>Ashley Park PreK-8 School</t>
  </si>
  <si>
    <t>600311</t>
  </si>
  <si>
    <t>Bailey Middle</t>
  </si>
  <si>
    <t>600313</t>
  </si>
  <si>
    <t>Bain Elementary</t>
  </si>
  <si>
    <t>600314</t>
  </si>
  <si>
    <t>Ballantyne Elementary</t>
  </si>
  <si>
    <t>600437</t>
  </si>
  <si>
    <t>Ballantyne Ridge High School</t>
  </si>
  <si>
    <t>600536</t>
  </si>
  <si>
    <t>Barnette Elementary</t>
  </si>
  <si>
    <t>600328</t>
  </si>
  <si>
    <t>Berewick Elementary</t>
  </si>
  <si>
    <t>600369</t>
  </si>
  <si>
    <t>Berryhill School</t>
  </si>
  <si>
    <t>600319</t>
  </si>
  <si>
    <t>Beverly Woods Elementary</t>
  </si>
  <si>
    <t>600322</t>
  </si>
  <si>
    <t>Billingsville Elementary</t>
  </si>
  <si>
    <t>600335</t>
  </si>
  <si>
    <t>Blythe Elementary</t>
  </si>
  <si>
    <t>600442</t>
  </si>
  <si>
    <t>Briarwood Academy</t>
  </si>
  <si>
    <t>600329</t>
  </si>
  <si>
    <t>Bruns Avenue Elementary</t>
  </si>
  <si>
    <t>600489</t>
  </si>
  <si>
    <t>Butler High School</t>
  </si>
  <si>
    <t>600361</t>
  </si>
  <si>
    <t>Carmel Middle</t>
  </si>
  <si>
    <t>600333</t>
  </si>
  <si>
    <t>Cato Middle College High School</t>
  </si>
  <si>
    <t>600334</t>
  </si>
  <si>
    <t>Central Piedmont Early College</t>
  </si>
  <si>
    <t>600498</t>
  </si>
  <si>
    <t>Chantilly Montessori</t>
  </si>
  <si>
    <t>600336</t>
  </si>
  <si>
    <t>Char Eng Early College-UNCC</t>
  </si>
  <si>
    <t>600567</t>
  </si>
  <si>
    <t>Charles H. Parker Academic Center</t>
  </si>
  <si>
    <t>600316</t>
  </si>
  <si>
    <t>Charlotte East Language Academy</t>
  </si>
  <si>
    <t>600303</t>
  </si>
  <si>
    <t>Charlotte Teacher Early College</t>
  </si>
  <si>
    <t>600569</t>
  </si>
  <si>
    <t>Charlotte-Mecklenburg Academy</t>
  </si>
  <si>
    <t>600461</t>
  </si>
  <si>
    <t>Charlotte-Mecklenburg Virtual School</t>
  </si>
  <si>
    <t>600499</t>
  </si>
  <si>
    <t>Clear Creek Elementary</t>
  </si>
  <si>
    <t>600338</t>
  </si>
  <si>
    <t>Cochrane Collegiate Academy</t>
  </si>
  <si>
    <t>600341</t>
  </si>
  <si>
    <t>Collinswood Language Academy</t>
  </si>
  <si>
    <t>600344</t>
  </si>
  <si>
    <t>Community House Middle</t>
  </si>
  <si>
    <t>600345</t>
  </si>
  <si>
    <t>Cornelius Elementary</t>
  </si>
  <si>
    <t>600346</t>
  </si>
  <si>
    <t>Cotswold Elementary</t>
  </si>
  <si>
    <t>600349</t>
  </si>
  <si>
    <t>Coulwood STEM Academy</t>
  </si>
  <si>
    <t>600351</t>
  </si>
  <si>
    <t>Crestdale Middle</t>
  </si>
  <si>
    <t>600353</t>
  </si>
  <si>
    <t>Croft Community School</t>
  </si>
  <si>
    <t>600418</t>
  </si>
  <si>
    <t>Crown Point Elementary</t>
  </si>
  <si>
    <t>600352</t>
  </si>
  <si>
    <t>David Cox Road Elementary</t>
  </si>
  <si>
    <t>600362</t>
  </si>
  <si>
    <t>Davidson Elementary</t>
  </si>
  <si>
    <t>600357</t>
  </si>
  <si>
    <t>Devonshire Elementary</t>
  </si>
  <si>
    <t>600365</t>
  </si>
  <si>
    <t>Dilworth Elementary</t>
  </si>
  <si>
    <t>600519</t>
  </si>
  <si>
    <t>Dilworth Elementary School Latta Campus</t>
  </si>
  <si>
    <t>600367</t>
  </si>
  <si>
    <t>Dorothy J Vaughan Academy at Parkside</t>
  </si>
  <si>
    <t>600475</t>
  </si>
  <si>
    <t>Druid Hills Academy</t>
  </si>
  <si>
    <t>600374</t>
  </si>
  <si>
    <t>East Mecklenburg High School</t>
  </si>
  <si>
    <t>600377</t>
  </si>
  <si>
    <t>Eastover Elementary</t>
  </si>
  <si>
    <t>600379</t>
  </si>
  <si>
    <t>Eastway Middle</t>
  </si>
  <si>
    <t>600381</t>
  </si>
  <si>
    <t>Elbert Edwin Waddell High School</t>
  </si>
  <si>
    <t>600597</t>
  </si>
  <si>
    <t>Elizabeth Lane Elementary</t>
  </si>
  <si>
    <t>600382</t>
  </si>
  <si>
    <t>Elizabeth Traditional Elem</t>
  </si>
  <si>
    <t>600384</t>
  </si>
  <si>
    <t>Elon Park Elementary</t>
  </si>
  <si>
    <t>600383</t>
  </si>
  <si>
    <t>Endhaven Elementary</t>
  </si>
  <si>
    <t>600385</t>
  </si>
  <si>
    <t>Esperanza Global Academy</t>
  </si>
  <si>
    <t>600596</t>
  </si>
  <si>
    <t>First Ward Creative Arts Academy</t>
  </si>
  <si>
    <t>600368</t>
  </si>
  <si>
    <t>Francis Bradley Middle</t>
  </si>
  <si>
    <t>600394</t>
  </si>
  <si>
    <t>Garinger High School</t>
  </si>
  <si>
    <t>600397</t>
  </si>
  <si>
    <t>Gov's Village STEM (Lower)</t>
  </si>
  <si>
    <t>600468</t>
  </si>
  <si>
    <t>Gov's Village STEM (Upper)</t>
  </si>
  <si>
    <t>600429</t>
  </si>
  <si>
    <t>Grand Oak Elementary</t>
  </si>
  <si>
    <t>600558</t>
  </si>
  <si>
    <t>Greenway Park Elementary</t>
  </si>
  <si>
    <t>600398</t>
  </si>
  <si>
    <t>Grove Park Elementary School</t>
  </si>
  <si>
    <t>600425</t>
  </si>
  <si>
    <t>Harding University High School</t>
  </si>
  <si>
    <t>600405</t>
  </si>
  <si>
    <t>Harper Middle College High</t>
  </si>
  <si>
    <t>600404</t>
  </si>
  <si>
    <t>Hawk Ridge Elementary</t>
  </si>
  <si>
    <t>600406</t>
  </si>
  <si>
    <t>Hawthorne Academy of Health Sciences</t>
  </si>
  <si>
    <t>600386</t>
  </si>
  <si>
    <t>Hickory Grove Elementary</t>
  </si>
  <si>
    <t>600410</t>
  </si>
  <si>
    <t>Hidden Valley Elementary</t>
  </si>
  <si>
    <t>600412</t>
  </si>
  <si>
    <t>Highland Creek Elementary</t>
  </si>
  <si>
    <t>600411</t>
  </si>
  <si>
    <t>Highland Mill Montessori</t>
  </si>
  <si>
    <t>600413</t>
  </si>
  <si>
    <t>Highland Renaissance Academy</t>
  </si>
  <si>
    <t>600414</t>
  </si>
  <si>
    <t>Hopewell High School</t>
  </si>
  <si>
    <t>600415</t>
  </si>
  <si>
    <t>Hornets Nest Elementary</t>
  </si>
  <si>
    <t>600416</t>
  </si>
  <si>
    <t>Huntersville Elementary</t>
  </si>
  <si>
    <t>600420</t>
  </si>
  <si>
    <t>Huntingtowne Farms Elementary</t>
  </si>
  <si>
    <t>600422</t>
  </si>
  <si>
    <t>Idlewild Elementary</t>
  </si>
  <si>
    <t>600424</t>
  </si>
  <si>
    <t>Independence High School</t>
  </si>
  <si>
    <t>600426</t>
  </si>
  <si>
    <t>Irwin Academic Center</t>
  </si>
  <si>
    <t>600571</t>
  </si>
  <si>
    <t>J. H. Gunn Elementary</t>
  </si>
  <si>
    <t>600478</t>
  </si>
  <si>
    <t>J. M. Alexander Middle</t>
  </si>
  <si>
    <t>600305</t>
  </si>
  <si>
    <t>J.V. Washam Elementary</t>
  </si>
  <si>
    <t>600433</t>
  </si>
  <si>
    <t>James Martin Middle</t>
  </si>
  <si>
    <t>600428</t>
  </si>
  <si>
    <t>Jay M. Robinson Middle</t>
  </si>
  <si>
    <t>600431</t>
  </si>
  <si>
    <t>Joseph W Grier Academy</t>
  </si>
  <si>
    <t>600432</t>
  </si>
  <si>
    <t>Julius L. Chambers High School</t>
  </si>
  <si>
    <t>600592</t>
  </si>
  <si>
    <t>Kennedy Middle</t>
  </si>
  <si>
    <t>600434</t>
  </si>
  <si>
    <t>Knights View Elementary School</t>
  </si>
  <si>
    <t>600387</t>
  </si>
  <si>
    <t>Lake Wylie Elementary</t>
  </si>
  <si>
    <t>600436</t>
  </si>
  <si>
    <t>Lansdowne Elementary</t>
  </si>
  <si>
    <t>600438</t>
  </si>
  <si>
    <t>Lawrence Orr Elementary</t>
  </si>
  <si>
    <t>600408</t>
  </si>
  <si>
    <t>Lebanon Road Elementary</t>
  </si>
  <si>
    <t>600440</t>
  </si>
  <si>
    <t>Levine Middle College High Sch</t>
  </si>
  <si>
    <t>600443</t>
  </si>
  <si>
    <t>Lincoln Heights Montessori</t>
  </si>
  <si>
    <t>600435</t>
  </si>
  <si>
    <t>Long Creek Elementary</t>
  </si>
  <si>
    <t>600444</t>
  </si>
  <si>
    <t>Mallard Creek Elementary</t>
  </si>
  <si>
    <t>600446</t>
  </si>
  <si>
    <t>Mallard Creek High School</t>
  </si>
  <si>
    <t>600445</t>
  </si>
  <si>
    <t>Marie G Davis School</t>
  </si>
  <si>
    <t>600366</t>
  </si>
  <si>
    <t>Martin Luther King, Jr Middle</t>
  </si>
  <si>
    <t>600448</t>
  </si>
  <si>
    <t>Matthews Elementary</t>
  </si>
  <si>
    <t>600447</t>
  </si>
  <si>
    <t>McAlpine Elementary</t>
  </si>
  <si>
    <t>600449</t>
  </si>
  <si>
    <t>McClintock Middle</t>
  </si>
  <si>
    <t>600450</t>
  </si>
  <si>
    <t>McKee Road Elementary</t>
  </si>
  <si>
    <t>600451</t>
  </si>
  <si>
    <t>Merancas Middle College-CPCC</t>
  </si>
  <si>
    <t>600594</t>
  </si>
  <si>
    <t>Merry Oaks International Academy</t>
  </si>
  <si>
    <t>600453</t>
  </si>
  <si>
    <t>Metro School</t>
  </si>
  <si>
    <t>600454</t>
  </si>
  <si>
    <t>Military and Global Leadership</t>
  </si>
  <si>
    <t>600364</t>
  </si>
  <si>
    <t>Mint Hill Elementary School</t>
  </si>
  <si>
    <t>600595</t>
  </si>
  <si>
    <t>Mint Hill Middle</t>
  </si>
  <si>
    <t>600455</t>
  </si>
  <si>
    <t>Montclaire Elementary</t>
  </si>
  <si>
    <t>600459</t>
  </si>
  <si>
    <t>Mountain Island Lake Academy</t>
  </si>
  <si>
    <t>600462</t>
  </si>
  <si>
    <t>Myers Park High School</t>
  </si>
  <si>
    <t>600466</t>
  </si>
  <si>
    <t>Myers Park Traditional Elem</t>
  </si>
  <si>
    <t>600464</t>
  </si>
  <si>
    <t>Nations Ford Elementary</t>
  </si>
  <si>
    <t>600471</t>
  </si>
  <si>
    <t>Newell Elementary</t>
  </si>
  <si>
    <t>600474</t>
  </si>
  <si>
    <t>North Academy of World Languages</t>
  </si>
  <si>
    <t>600306</t>
  </si>
  <si>
    <t>North Mecklenburg High School</t>
  </si>
  <si>
    <t>600480</t>
  </si>
  <si>
    <t>Northeast Middle</t>
  </si>
  <si>
    <t>600479</t>
  </si>
  <si>
    <t>Northridge Middle</t>
  </si>
  <si>
    <t>600481</t>
  </si>
  <si>
    <t>Northwest School of the Arts</t>
  </si>
  <si>
    <t>600482</t>
  </si>
  <si>
    <t>Oakdale Elementary</t>
  </si>
  <si>
    <t>600485</t>
  </si>
  <si>
    <t>Oakhurst STEAM Academy</t>
  </si>
  <si>
    <t>600484</t>
  </si>
  <si>
    <t>Oaklawn Language Academy</t>
  </si>
  <si>
    <t>600488</t>
  </si>
  <si>
    <t>Olde Providence Elementary</t>
  </si>
  <si>
    <t>600491</t>
  </si>
  <si>
    <t>Olympic High School</t>
  </si>
  <si>
    <t>600490</t>
  </si>
  <si>
    <t>Palisades High School</t>
  </si>
  <si>
    <t>600327</t>
  </si>
  <si>
    <t>Palisades Park Elementary</t>
  </si>
  <si>
    <t>600493</t>
  </si>
  <si>
    <t>Paw Creek Elementary</t>
  </si>
  <si>
    <t>600494</t>
  </si>
  <si>
    <t>Phillip O Berry Academy of Technology</t>
  </si>
  <si>
    <t>600496</t>
  </si>
  <si>
    <t>Piedmont Middle School</t>
  </si>
  <si>
    <t>600497</t>
  </si>
  <si>
    <t>Pineville Elementary</t>
  </si>
  <si>
    <t>600500</t>
  </si>
  <si>
    <t>Pinewood Elementary</t>
  </si>
  <si>
    <t>600501</t>
  </si>
  <si>
    <t>Piney Grove Elementary</t>
  </si>
  <si>
    <t>600503</t>
  </si>
  <si>
    <t>Polo Ridge Elementary</t>
  </si>
  <si>
    <t>600392</t>
  </si>
  <si>
    <t>Providence High School</t>
  </si>
  <si>
    <t>600508</t>
  </si>
  <si>
    <t>Providence Spring Elementary</t>
  </si>
  <si>
    <t>600507</t>
  </si>
  <si>
    <t>Quail Hollow Middle</t>
  </si>
  <si>
    <t>600509</t>
  </si>
  <si>
    <t>Rama Road Elementary</t>
  </si>
  <si>
    <t>600512</t>
  </si>
  <si>
    <t>Randolph Middle</t>
  </si>
  <si>
    <t>600513</t>
  </si>
  <si>
    <t>Ranson Middle</t>
  </si>
  <si>
    <t>600514</t>
  </si>
  <si>
    <t>Rea Farms STEAM Academy</t>
  </si>
  <si>
    <t>600304</t>
  </si>
  <si>
    <t>Reedy Creek Elementary</t>
  </si>
  <si>
    <t>600516</t>
  </si>
  <si>
    <t>Reid Park Academy</t>
  </si>
  <si>
    <t>600517</t>
  </si>
  <si>
    <t>Renaissance West STEAM Academy</t>
  </si>
  <si>
    <t>600515</t>
  </si>
  <si>
    <t>Ridge Road Middle</t>
  </si>
  <si>
    <t>600518</t>
  </si>
  <si>
    <t>River Gate Elementary</t>
  </si>
  <si>
    <t>600590</t>
  </si>
  <si>
    <t>River Oaks Academy</t>
  </si>
  <si>
    <t>600463</t>
  </si>
  <si>
    <t>Rocky River High School</t>
  </si>
  <si>
    <t>600457</t>
  </si>
  <si>
    <t>Sedgefield Middle</t>
  </si>
  <si>
    <t>600520</t>
  </si>
  <si>
    <t>Sedgefield Montessori</t>
  </si>
  <si>
    <t>600492</t>
  </si>
  <si>
    <t>Selwyn Elementary</t>
  </si>
  <si>
    <t>600522</t>
  </si>
  <si>
    <t>Shamrock Gardens Elementary</t>
  </si>
  <si>
    <t>600527</t>
  </si>
  <si>
    <t>Sharon Elementary</t>
  </si>
  <si>
    <t>600530</t>
  </si>
  <si>
    <t>Smithfield Elementary</t>
  </si>
  <si>
    <t>600534</t>
  </si>
  <si>
    <t>South Academy of International Languages</t>
  </si>
  <si>
    <t>600532</t>
  </si>
  <si>
    <t>South Charlotte Middle</t>
  </si>
  <si>
    <t>600537</t>
  </si>
  <si>
    <t>South Mecklenburg High School</t>
  </si>
  <si>
    <t>600535</t>
  </si>
  <si>
    <t>South Pine Academy</t>
  </si>
  <si>
    <t>600483</t>
  </si>
  <si>
    <t>Southwest Middle School</t>
  </si>
  <si>
    <t>600538</t>
  </si>
  <si>
    <t>Starmount Academy of Excellence</t>
  </si>
  <si>
    <t>600545</t>
  </si>
  <si>
    <t>Statesville Road Elementary</t>
  </si>
  <si>
    <t>600546</t>
  </si>
  <si>
    <t>Steele Creek Elementary</t>
  </si>
  <si>
    <t>600549</t>
  </si>
  <si>
    <t>Sterling Elementary</t>
  </si>
  <si>
    <t>600550</t>
  </si>
  <si>
    <t>600521</t>
  </si>
  <si>
    <t>Thomasboro Academy</t>
  </si>
  <si>
    <t>600553</t>
  </si>
  <si>
    <t>Torrence Creek Elementary</t>
  </si>
  <si>
    <t>600557</t>
  </si>
  <si>
    <t>Tuckaseegee Elementary</t>
  </si>
  <si>
    <t>600562</t>
  </si>
  <si>
    <t>Turning Point Academy</t>
  </si>
  <si>
    <t>600439</t>
  </si>
  <si>
    <t>Turning Point Middle</t>
  </si>
  <si>
    <t>600598</t>
  </si>
  <si>
    <t>University Meadows Elementary</t>
  </si>
  <si>
    <t>600566</t>
  </si>
  <si>
    <t>University Park Creative Arts</t>
  </si>
  <si>
    <t>600565</t>
  </si>
  <si>
    <t>Villa Heights Elementary</t>
  </si>
  <si>
    <t>600593</t>
  </si>
  <si>
    <t>Walter G. Byers School</t>
  </si>
  <si>
    <t>600574</t>
  </si>
  <si>
    <t>West Charlotte High School</t>
  </si>
  <si>
    <t>600576</t>
  </si>
  <si>
    <t>West Mecklenburg High School</t>
  </si>
  <si>
    <t>600579</t>
  </si>
  <si>
    <t>Westerly Hills Academy</t>
  </si>
  <si>
    <t>600577</t>
  </si>
  <si>
    <t>Whitewater Academy</t>
  </si>
  <si>
    <t>600318</t>
  </si>
  <si>
    <t>Whitewater Middle</t>
  </si>
  <si>
    <t>600317</t>
  </si>
  <si>
    <t>William Amos Hough High</t>
  </si>
  <si>
    <t>600312</t>
  </si>
  <si>
    <t>Williams Secondary Montessori</t>
  </si>
  <si>
    <t>600582</t>
  </si>
  <si>
    <t>Wilson STEM Academy</t>
  </si>
  <si>
    <t>600583</t>
  </si>
  <si>
    <t>Winding Springs Elementary</t>
  </si>
  <si>
    <t>600586</t>
  </si>
  <si>
    <t>Windsor Park Elementary</t>
  </si>
  <si>
    <t>600587</t>
  </si>
  <si>
    <t>Winget Park Elementary</t>
  </si>
  <si>
    <t>600588</t>
  </si>
  <si>
    <t>Winterfield Elementary</t>
  </si>
  <si>
    <t>600589</t>
  </si>
  <si>
    <t>Chatham Charter</t>
  </si>
  <si>
    <t>19A000</t>
  </si>
  <si>
    <t>Chatham County Schools</t>
  </si>
  <si>
    <t>190LEA</t>
  </si>
  <si>
    <t>Bennett School</t>
  </si>
  <si>
    <t>190304</t>
  </si>
  <si>
    <t>Bonlee School</t>
  </si>
  <si>
    <t>190308</t>
  </si>
  <si>
    <t>Chatham Central High</t>
  </si>
  <si>
    <t>190316</t>
  </si>
  <si>
    <t>Chatham County Schools Virtual Academy</t>
  </si>
  <si>
    <t>190309</t>
  </si>
  <si>
    <t>Chatham Early College</t>
  </si>
  <si>
    <t>190501</t>
  </si>
  <si>
    <t>Chatham Grove Elementary</t>
  </si>
  <si>
    <t>190354</t>
  </si>
  <si>
    <t>Chatham Middle</t>
  </si>
  <si>
    <t>190312</t>
  </si>
  <si>
    <t>George M. Horton Middle</t>
  </si>
  <si>
    <t>190328</t>
  </si>
  <si>
    <t>J S Waters School</t>
  </si>
  <si>
    <t>190332</t>
  </si>
  <si>
    <t>Jordan-Matthews High</t>
  </si>
  <si>
    <t>190336</t>
  </si>
  <si>
    <t>Margaret B. Pollard Middle</t>
  </si>
  <si>
    <t>190339</t>
  </si>
  <si>
    <t>Moncure School</t>
  </si>
  <si>
    <t>190340</t>
  </si>
  <si>
    <t>North Chatham Elementary</t>
  </si>
  <si>
    <t>190341</t>
  </si>
  <si>
    <t>Northwood High</t>
  </si>
  <si>
    <t>190342</t>
  </si>
  <si>
    <t>ONE Academy</t>
  </si>
  <si>
    <t>190310</t>
  </si>
  <si>
    <t>Perry W Harrison Elementary</t>
  </si>
  <si>
    <t>190346</t>
  </si>
  <si>
    <t>Pittsboro Elementary</t>
  </si>
  <si>
    <t>190348</t>
  </si>
  <si>
    <t>Seaforth High</t>
  </si>
  <si>
    <t>190349</t>
  </si>
  <si>
    <t>Siler City Elementary</t>
  </si>
  <si>
    <t>190350</t>
  </si>
  <si>
    <t>Silk Hope School</t>
  </si>
  <si>
    <t>190352</t>
  </si>
  <si>
    <t>Virginia Cross Elementary</t>
  </si>
  <si>
    <t>190370</t>
  </si>
  <si>
    <t>Cherokee County Schools</t>
  </si>
  <si>
    <t>200LEA</t>
  </si>
  <si>
    <t>Andrews Elementary</t>
  </si>
  <si>
    <t>200304</t>
  </si>
  <si>
    <t>Andrews High</t>
  </si>
  <si>
    <t>200308</t>
  </si>
  <si>
    <t>Andrews Middle</t>
  </si>
  <si>
    <t>200310</t>
  </si>
  <si>
    <t>Hiwassee Dam High</t>
  </si>
  <si>
    <t>200314</t>
  </si>
  <si>
    <t>Hiwassee Dam Middle</t>
  </si>
  <si>
    <t>200312</t>
  </si>
  <si>
    <t>Martins Creek Elementary</t>
  </si>
  <si>
    <t>200320</t>
  </si>
  <si>
    <t>Murphy Elementary</t>
  </si>
  <si>
    <t>200324</t>
  </si>
  <si>
    <t>Murphy High</t>
  </si>
  <si>
    <t>200328</t>
  </si>
  <si>
    <t>Murphy Middle</t>
  </si>
  <si>
    <t>200330</t>
  </si>
  <si>
    <t>Peachtree Elementary</t>
  </si>
  <si>
    <t>200332</t>
  </si>
  <si>
    <t>Ranger Elementary</t>
  </si>
  <si>
    <t>200336</t>
  </si>
  <si>
    <t>The Oaks Academy</t>
  </si>
  <si>
    <t>200322</t>
  </si>
  <si>
    <t>Tri-County Early College High</t>
  </si>
  <si>
    <t>200350</t>
  </si>
  <si>
    <t>CIS Academy</t>
  </si>
  <si>
    <t>78A000</t>
  </si>
  <si>
    <t>Classical Charter Schools of Leland</t>
  </si>
  <si>
    <t>10A000</t>
  </si>
  <si>
    <t>Classical Charter Schools of Southport</t>
  </si>
  <si>
    <t>10B000</t>
  </si>
  <si>
    <t>Classical Charter Schools of Whiteville</t>
  </si>
  <si>
    <t>24N000</t>
  </si>
  <si>
    <t>Classical Charter Schools of Wilmington</t>
  </si>
  <si>
    <t>65C000</t>
  </si>
  <si>
    <t>Clay County Schools</t>
  </si>
  <si>
    <t>220LEA</t>
  </si>
  <si>
    <t>Hayesville Elementary</t>
  </si>
  <si>
    <t>220308</t>
  </si>
  <si>
    <t>Hayesville High</t>
  </si>
  <si>
    <t>220310</t>
  </si>
  <si>
    <t>Hayesville Middle</t>
  </si>
  <si>
    <t>220312</t>
  </si>
  <si>
    <t>Hayesville Primary School</t>
  </si>
  <si>
    <t>220306</t>
  </si>
  <si>
    <t>Cleveland County Schools</t>
  </si>
  <si>
    <t>230LEA</t>
  </si>
  <si>
    <t>Bethware Elementary</t>
  </si>
  <si>
    <t>230304</t>
  </si>
  <si>
    <t>Boiling Springs Elementary</t>
  </si>
  <si>
    <t>230308</t>
  </si>
  <si>
    <t>Burns High</t>
  </si>
  <si>
    <t>230312</t>
  </si>
  <si>
    <t>Burns Middle</t>
  </si>
  <si>
    <t>230316</t>
  </si>
  <si>
    <t>Casar Elementary</t>
  </si>
  <si>
    <t>230320</t>
  </si>
  <si>
    <t>Cleveland ECHS</t>
  </si>
  <si>
    <t>230322</t>
  </si>
  <si>
    <t>Cleveland Innovation</t>
  </si>
  <si>
    <t>230323</t>
  </si>
  <si>
    <t>Crest High</t>
  </si>
  <si>
    <t>230324</t>
  </si>
  <si>
    <t>Crest Middle</t>
  </si>
  <si>
    <t>230328</t>
  </si>
  <si>
    <t>East Elementary</t>
  </si>
  <si>
    <t>230334</t>
  </si>
  <si>
    <t>Elizabeth Elementary</t>
  </si>
  <si>
    <t>230336</t>
  </si>
  <si>
    <t>Fallston Elementary</t>
  </si>
  <si>
    <t>230340</t>
  </si>
  <si>
    <t>Grover Elementary</t>
  </si>
  <si>
    <t>230344</t>
  </si>
  <si>
    <t>James Love Elementary</t>
  </si>
  <si>
    <t>230346</t>
  </si>
  <si>
    <t>Jefferson Elementary</t>
  </si>
  <si>
    <t>230348</t>
  </si>
  <si>
    <t>Kings Mountain High</t>
  </si>
  <si>
    <t>230350</t>
  </si>
  <si>
    <t>Kings Mountain Intermediate</t>
  </si>
  <si>
    <t>230351</t>
  </si>
  <si>
    <t>Kings Mountain Middle</t>
  </si>
  <si>
    <t>230352</t>
  </si>
  <si>
    <t>230357</t>
  </si>
  <si>
    <t>North Shelby</t>
  </si>
  <si>
    <t>230359</t>
  </si>
  <si>
    <t>Shelby High</t>
  </si>
  <si>
    <t>230361</t>
  </si>
  <si>
    <t>Shelby Middle</t>
  </si>
  <si>
    <t>230362</t>
  </si>
  <si>
    <t>Springmore Elementary</t>
  </si>
  <si>
    <t>230364</t>
  </si>
  <si>
    <t>Township Three Elementary</t>
  </si>
  <si>
    <t>230368</t>
  </si>
  <si>
    <t>230330</t>
  </si>
  <si>
    <t>230370</t>
  </si>
  <si>
    <t>Washington Elementary</t>
  </si>
  <si>
    <t>230376</t>
  </si>
  <si>
    <t>West Elementary</t>
  </si>
  <si>
    <t>230380</t>
  </si>
  <si>
    <t>Clinton City Schools</t>
  </si>
  <si>
    <t>821LEA</t>
  </si>
  <si>
    <t>Butler Avenue Elementary</t>
  </si>
  <si>
    <t>821304</t>
  </si>
  <si>
    <t>Clinton High</t>
  </si>
  <si>
    <t>821308</t>
  </si>
  <si>
    <t>Langdon C Kerr Elementary</t>
  </si>
  <si>
    <t>821316</t>
  </si>
  <si>
    <t>Sampson Middle</t>
  </si>
  <si>
    <t>821320</t>
  </si>
  <si>
    <t>Sunset Avenue Elementary</t>
  </si>
  <si>
    <t>821330</t>
  </si>
  <si>
    <t>Clover Garden</t>
  </si>
  <si>
    <t>01C000</t>
  </si>
  <si>
    <t>College Prep and Leadership Academy</t>
  </si>
  <si>
    <t>41H000</t>
  </si>
  <si>
    <t>Columbus County Schools</t>
  </si>
  <si>
    <t>240LEA</t>
  </si>
  <si>
    <t>Acme Delco Elementary</t>
  </si>
  <si>
    <t>240308</t>
  </si>
  <si>
    <t>Chadbourn Elementary</t>
  </si>
  <si>
    <t>240332</t>
  </si>
  <si>
    <t>Columbus Career and College Academy</t>
  </si>
  <si>
    <t>240373</t>
  </si>
  <si>
    <t>East Columbus Junior-Senior High</t>
  </si>
  <si>
    <t>240334</t>
  </si>
  <si>
    <t>Hallsboro-Artesia Elementary</t>
  </si>
  <si>
    <t>240354</t>
  </si>
  <si>
    <t>Nakina Middle</t>
  </si>
  <si>
    <t>240368</t>
  </si>
  <si>
    <t>Old Dock Elementary</t>
  </si>
  <si>
    <t>240370</t>
  </si>
  <si>
    <t>South Columbus High</t>
  </si>
  <si>
    <t>240371</t>
  </si>
  <si>
    <t>Tabor City School</t>
  </si>
  <si>
    <t>240375</t>
  </si>
  <si>
    <t>West Columbus High</t>
  </si>
  <si>
    <t>240380</t>
  </si>
  <si>
    <t>West Columbus School</t>
  </si>
  <si>
    <t>240381</t>
  </si>
  <si>
    <t>Williams Township</t>
  </si>
  <si>
    <t>240388</t>
  </si>
  <si>
    <t>Commonwealth High</t>
  </si>
  <si>
    <t>60U000</t>
  </si>
  <si>
    <t>Community Charter School</t>
  </si>
  <si>
    <t>36G000</t>
  </si>
  <si>
    <t>Community School of Davidson</t>
  </si>
  <si>
    <t>60I000</t>
  </si>
  <si>
    <t>Community School of Digital &amp; Visual Art</t>
  </si>
  <si>
    <t>32C000</t>
  </si>
  <si>
    <t>Concord Lake STEAM Academy</t>
  </si>
  <si>
    <t>13D000</t>
  </si>
  <si>
    <t>Cornerstone Charter Academy-CFA</t>
  </si>
  <si>
    <t>41G000</t>
  </si>
  <si>
    <t>Corvian Community School</t>
  </si>
  <si>
    <t>60M000</t>
  </si>
  <si>
    <t>Craven County Board of Education</t>
  </si>
  <si>
    <t>250LEA</t>
  </si>
  <si>
    <t>Albert H Bangert Elementary</t>
  </si>
  <si>
    <t>250304</t>
  </si>
  <si>
    <t>Arthur W Edwards Elementary</t>
  </si>
  <si>
    <t>250380</t>
  </si>
  <si>
    <t>Ben D. Quinn Elementary</t>
  </si>
  <si>
    <t>250306</t>
  </si>
  <si>
    <t>Bridgeton Elementary</t>
  </si>
  <si>
    <t>250308</t>
  </si>
  <si>
    <t>Brinson Memorial Elementary</t>
  </si>
  <si>
    <t>250312</t>
  </si>
  <si>
    <t>Craven Early College High</t>
  </si>
  <si>
    <t>250314</t>
  </si>
  <si>
    <t>Craven Virtual Academy</t>
  </si>
  <si>
    <t>250379</t>
  </si>
  <si>
    <t>Creekside Elementary</t>
  </si>
  <si>
    <t>250316</t>
  </si>
  <si>
    <t>Early College EAST High</t>
  </si>
  <si>
    <t>250321</t>
  </si>
  <si>
    <t>Graham A Barden Elementary</t>
  </si>
  <si>
    <t>250328</t>
  </si>
  <si>
    <t>Grover C Fields Middle</t>
  </si>
  <si>
    <t>250324</t>
  </si>
  <si>
    <t>H J MacDonald Middle</t>
  </si>
  <si>
    <t>250332</t>
  </si>
  <si>
    <t>Havelock Elementary</t>
  </si>
  <si>
    <t>250336</t>
  </si>
  <si>
    <t>Havelock High</t>
  </si>
  <si>
    <t>250340</t>
  </si>
  <si>
    <t>Havelock Middle</t>
  </si>
  <si>
    <t>250344</t>
  </si>
  <si>
    <t>J.T. Barber Elementary</t>
  </si>
  <si>
    <t>250348</t>
  </si>
  <si>
    <t>James W Smith Elementary</t>
  </si>
  <si>
    <t>250350</t>
  </si>
  <si>
    <t>New Bern High</t>
  </si>
  <si>
    <t>250356</t>
  </si>
  <si>
    <t>Oaks Road Academy</t>
  </si>
  <si>
    <t>250360</t>
  </si>
  <si>
    <t>Roger Bell New Tech Academy</t>
  </si>
  <si>
    <t>250362</t>
  </si>
  <si>
    <t>Trent Park Elementary</t>
  </si>
  <si>
    <t>250364</t>
  </si>
  <si>
    <t>Tucker Creek Middle</t>
  </si>
  <si>
    <t>250368</t>
  </si>
  <si>
    <t>Vanceboro-Farm Life Elementary</t>
  </si>
  <si>
    <t>250320</t>
  </si>
  <si>
    <t>W Jesse Gurganus Elementary</t>
  </si>
  <si>
    <t>250378</t>
  </si>
  <si>
    <t>West Craven High</t>
  </si>
  <si>
    <t>250372</t>
  </si>
  <si>
    <t>West Craven Middle</t>
  </si>
  <si>
    <t>250376</t>
  </si>
  <si>
    <t>Crosscreek Charter School</t>
  </si>
  <si>
    <t>35A000</t>
  </si>
  <si>
    <t>Cumberland County Schools</t>
  </si>
  <si>
    <t>260LEA</t>
  </si>
  <si>
    <t>Alderman Road Elementary</t>
  </si>
  <si>
    <t>260364</t>
  </si>
  <si>
    <t>Alger B. Wilkins High School</t>
  </si>
  <si>
    <t>260374</t>
  </si>
  <si>
    <t>Alma O Easom Elementary</t>
  </si>
  <si>
    <t>260302</t>
  </si>
  <si>
    <t>Anne Chesnutt Middle</t>
  </si>
  <si>
    <t>260336</t>
  </si>
  <si>
    <t>Armstrong Elementary</t>
  </si>
  <si>
    <t>260306</t>
  </si>
  <si>
    <t>Ashley Elementary</t>
  </si>
  <si>
    <t>260308</t>
  </si>
  <si>
    <t>Beaver Dam Elementary</t>
  </si>
  <si>
    <t>260312</t>
  </si>
  <si>
    <t>Benjamin J Martin Elementary</t>
  </si>
  <si>
    <t>260414</t>
  </si>
  <si>
    <t>Bill Hefner Elementary</t>
  </si>
  <si>
    <t>260367</t>
  </si>
  <si>
    <t>Brentwood Elementary</t>
  </si>
  <si>
    <t>260320</t>
  </si>
  <si>
    <t>C Wayne Collier Elementary</t>
  </si>
  <si>
    <t>260342</t>
  </si>
  <si>
    <t>Cape Fear High</t>
  </si>
  <si>
    <t>260325</t>
  </si>
  <si>
    <t>Cliffdale Elementary</t>
  </si>
  <si>
    <t>260338</t>
  </si>
  <si>
    <t>College Lakes Elementary</t>
  </si>
  <si>
    <t>260340</t>
  </si>
  <si>
    <t>Cross Creek Early College</t>
  </si>
  <si>
    <t>260354</t>
  </si>
  <si>
    <t>Cumberland International Early College</t>
  </si>
  <si>
    <t>260347</t>
  </si>
  <si>
    <t>Cumberland Mills Elementary</t>
  </si>
  <si>
    <t>260348</t>
  </si>
  <si>
    <t>Cumberland Polytechnic</t>
  </si>
  <si>
    <t>260700</t>
  </si>
  <si>
    <t>Cumberland Road Elementary</t>
  </si>
  <si>
    <t>260352</t>
  </si>
  <si>
    <t>Cumberland Virtual Academy 6-12</t>
  </si>
  <si>
    <t>260460</t>
  </si>
  <si>
    <t>Cumberland Virtual Academy K-5</t>
  </si>
  <si>
    <t>260461</t>
  </si>
  <si>
    <t>District No 7 Elementary</t>
  </si>
  <si>
    <t>260356</t>
  </si>
  <si>
    <t>Douglas Byrd High</t>
  </si>
  <si>
    <t>260322</t>
  </si>
  <si>
    <t>Douglas Byrd Middle</t>
  </si>
  <si>
    <t>260321</t>
  </si>
  <si>
    <t>E E Miller Elementary</t>
  </si>
  <si>
    <t>260398</t>
  </si>
  <si>
    <t>E E Smith High</t>
  </si>
  <si>
    <t>260359</t>
  </si>
  <si>
    <t>E Melvin Honeycutt Elementary</t>
  </si>
  <si>
    <t>260397</t>
  </si>
  <si>
    <t>Eastover-Central Elementary</t>
  </si>
  <si>
    <t>260332</t>
  </si>
  <si>
    <t>Ed V Baldwin Elementary</t>
  </si>
  <si>
    <t>260370</t>
  </si>
  <si>
    <t>Elizabeth M Cashwell Elementary</t>
  </si>
  <si>
    <t>260326</t>
  </si>
  <si>
    <t>Ferguson-Easley Elementary</t>
  </si>
  <si>
    <t>260361</t>
  </si>
  <si>
    <t>Gallberry Farm Elementary</t>
  </si>
  <si>
    <t>260373</t>
  </si>
  <si>
    <t>Glendale Acres Elementary</t>
  </si>
  <si>
    <t>260363</t>
  </si>
  <si>
    <t>Gray's Creek Elementary</t>
  </si>
  <si>
    <t>260375</t>
  </si>
  <si>
    <t>Gray's Creek High</t>
  </si>
  <si>
    <t>260357</t>
  </si>
  <si>
    <t>Gray's Creek Middle</t>
  </si>
  <si>
    <t>260362</t>
  </si>
  <si>
    <t>Hope Mills Middle</t>
  </si>
  <si>
    <t>260368</t>
  </si>
  <si>
    <t>Howard L Hall Elementary</t>
  </si>
  <si>
    <t>260366</t>
  </si>
  <si>
    <t>Howard Learning Academy</t>
  </si>
  <si>
    <t>260413</t>
  </si>
  <si>
    <t>J W Coon Elementary</t>
  </si>
  <si>
    <t>260344</t>
  </si>
  <si>
    <t>J W Seabrook Elementary</t>
  </si>
  <si>
    <t>260416</t>
  </si>
  <si>
    <t>Jack Britt High</t>
  </si>
  <si>
    <t>260318</t>
  </si>
  <si>
    <t>John R Griffin Middle</t>
  </si>
  <si>
    <t>260369</t>
  </si>
  <si>
    <t>Lake Rim Elementary</t>
  </si>
  <si>
    <t>260407</t>
  </si>
  <si>
    <t>Lewis Chapel Middle</t>
  </si>
  <si>
    <t>260372</t>
  </si>
  <si>
    <t>Long Hill Elementary</t>
  </si>
  <si>
    <t>260380</t>
  </si>
  <si>
    <t>Loyd E Auman Elementary</t>
  </si>
  <si>
    <t>260310</t>
  </si>
  <si>
    <t>Lucile Souders Elementary</t>
  </si>
  <si>
    <t>260382</t>
  </si>
  <si>
    <t>Luther Nick Jeralds Middle</t>
  </si>
  <si>
    <t>260358</t>
  </si>
  <si>
    <t>Mac Williams Middle</t>
  </si>
  <si>
    <t>260383</t>
  </si>
  <si>
    <t>Manchester Elementary</t>
  </si>
  <si>
    <t>260402</t>
  </si>
  <si>
    <t>Margaret Willis Elementary</t>
  </si>
  <si>
    <t>260386</t>
  </si>
  <si>
    <t>Mary McArthur Elementary</t>
  </si>
  <si>
    <t>260396</t>
  </si>
  <si>
    <t>Massey Hill Classical High</t>
  </si>
  <si>
    <t>260388</t>
  </si>
  <si>
    <t>Montclair Elementary</t>
  </si>
  <si>
    <t>260400</t>
  </si>
  <si>
    <t>Morganton Road Elementary</t>
  </si>
  <si>
    <t>260401</t>
  </si>
  <si>
    <t>New Century International Elementary</t>
  </si>
  <si>
    <t>260403</t>
  </si>
  <si>
    <t>New Century International Middle</t>
  </si>
  <si>
    <t>260417</t>
  </si>
  <si>
    <t>Pine Forest High</t>
  </si>
  <si>
    <t>260408</t>
  </si>
  <si>
    <t>Pine Forest Middle</t>
  </si>
  <si>
    <t>260406</t>
  </si>
  <si>
    <t>Ponderosa Elementary</t>
  </si>
  <si>
    <t>260410</t>
  </si>
  <si>
    <t>R Max Abbott Middle</t>
  </si>
  <si>
    <t>260365</t>
  </si>
  <si>
    <t>Raleigh Road Elementary</t>
  </si>
  <si>
    <t>260412</t>
  </si>
  <si>
    <t>Ramsey Street High</t>
  </si>
  <si>
    <t>260449</t>
  </si>
  <si>
    <t>Reid Ross Classical High</t>
  </si>
  <si>
    <t>260411</t>
  </si>
  <si>
    <t>Reid Ross Classical Middle</t>
  </si>
  <si>
    <t>260419</t>
  </si>
  <si>
    <t>Rockfish Elementary</t>
  </si>
  <si>
    <t>260415</t>
  </si>
  <si>
    <t>Seventy-First Classical Middle</t>
  </si>
  <si>
    <t>260418</t>
  </si>
  <si>
    <t>Seventy-First High</t>
  </si>
  <si>
    <t>260424</t>
  </si>
  <si>
    <t>Sherwood Park Elementary</t>
  </si>
  <si>
    <t>260426</t>
  </si>
  <si>
    <t>South View High</t>
  </si>
  <si>
    <t>260427</t>
  </si>
  <si>
    <t>South View Middle</t>
  </si>
  <si>
    <t>260425</t>
  </si>
  <si>
    <t>Spring Lake Middle</t>
  </si>
  <si>
    <t>260428</t>
  </si>
  <si>
    <t>Stedman Elementary</t>
  </si>
  <si>
    <t>260430</t>
  </si>
  <si>
    <t>Stedman Primary</t>
  </si>
  <si>
    <t>260432</t>
  </si>
  <si>
    <t>Stoney Point Elementary</t>
  </si>
  <si>
    <t>260434</t>
  </si>
  <si>
    <t>Sunnyside Elementary</t>
  </si>
  <si>
    <t>260440</t>
  </si>
  <si>
    <t>Terry Sanford High</t>
  </si>
  <si>
    <t>260446</t>
  </si>
  <si>
    <t>Vanstory Hills Elementary</t>
  </si>
  <si>
    <t>260448</t>
  </si>
  <si>
    <t>Walker-Spivey Elementary</t>
  </si>
  <si>
    <t>260405</t>
  </si>
  <si>
    <t>Warrenwood Elementary</t>
  </si>
  <si>
    <t>260450</t>
  </si>
  <si>
    <t>Westarea Elementary</t>
  </si>
  <si>
    <t>260452</t>
  </si>
  <si>
    <t>Westover High</t>
  </si>
  <si>
    <t>260455</t>
  </si>
  <si>
    <t>Westover Middle</t>
  </si>
  <si>
    <t>260454</t>
  </si>
  <si>
    <t>William H Owen Elementary</t>
  </si>
  <si>
    <t>260404</t>
  </si>
  <si>
    <t>William T Brown Elementary</t>
  </si>
  <si>
    <t>260459</t>
  </si>
  <si>
    <t>Currituck County Schools</t>
  </si>
  <si>
    <t>270LEA</t>
  </si>
  <si>
    <t>Central Elementary</t>
  </si>
  <si>
    <t>270304</t>
  </si>
  <si>
    <t>Currituck County High</t>
  </si>
  <si>
    <t>270306</t>
  </si>
  <si>
    <t>Currituck County Middle</t>
  </si>
  <si>
    <t>270308</t>
  </si>
  <si>
    <t>Jarvisburg Elementary</t>
  </si>
  <si>
    <t>270309</t>
  </si>
  <si>
    <t>Knotts Island Elementary</t>
  </si>
  <si>
    <t>270312</t>
  </si>
  <si>
    <t>Moyock Elementary</t>
  </si>
  <si>
    <t>270316</t>
  </si>
  <si>
    <t>Moyock Middle</t>
  </si>
  <si>
    <t>270318</t>
  </si>
  <si>
    <t>Shawboro Elementary School</t>
  </si>
  <si>
    <t>270310</t>
  </si>
  <si>
    <t>The JP Knapp ECH (i)School</t>
  </si>
  <si>
    <t>270311</t>
  </si>
  <si>
    <t>W T Griggs Elementary</t>
  </si>
  <si>
    <t>270320</t>
  </si>
  <si>
    <t>D.C. Virgo Preparatory Academy</t>
  </si>
  <si>
    <t>65Z000</t>
  </si>
  <si>
    <t>Dare County Schools</t>
  </si>
  <si>
    <t>280LEA</t>
  </si>
  <si>
    <t>Cape Hatteras Elementary School</t>
  </si>
  <si>
    <t>280302</t>
  </si>
  <si>
    <t>Cape Hatteras Secondary School</t>
  </si>
  <si>
    <t>280304</t>
  </si>
  <si>
    <t>Dare Early College</t>
  </si>
  <si>
    <t>280301</t>
  </si>
  <si>
    <t>Dare Learning Academy</t>
  </si>
  <si>
    <t>280306</t>
  </si>
  <si>
    <t>First Flight Elementary School</t>
  </si>
  <si>
    <t>280324</t>
  </si>
  <si>
    <t>First Flight High School</t>
  </si>
  <si>
    <t>280330</t>
  </si>
  <si>
    <t>First Flight Middle School</t>
  </si>
  <si>
    <t>280328</t>
  </si>
  <si>
    <t>Kitty Hawk Elementary School</t>
  </si>
  <si>
    <t>280308</t>
  </si>
  <si>
    <t>Manteo Elementary School</t>
  </si>
  <si>
    <t>280312</t>
  </si>
  <si>
    <t>Manteo High School</t>
  </si>
  <si>
    <t>280316</t>
  </si>
  <si>
    <t>Manteo Middle School</t>
  </si>
  <si>
    <t>280320</t>
  </si>
  <si>
    <t>Nags Head Elementary School</t>
  </si>
  <si>
    <t>280310</t>
  </si>
  <si>
    <t>Davidson Charter Academy</t>
  </si>
  <si>
    <t>29A000</t>
  </si>
  <si>
    <t>Davidson County Schools</t>
  </si>
  <si>
    <t>290LEA</t>
  </si>
  <si>
    <t>Brier Creek Elementary</t>
  </si>
  <si>
    <t>290302</t>
  </si>
  <si>
    <t>Central Davidson High</t>
  </si>
  <si>
    <t>290308</t>
  </si>
  <si>
    <t>Central Davidson Middle</t>
  </si>
  <si>
    <t>290309</t>
  </si>
  <si>
    <t>Churchland Elementary</t>
  </si>
  <si>
    <t>290312</t>
  </si>
  <si>
    <t>Davidson County High School</t>
  </si>
  <si>
    <t>290314</t>
  </si>
  <si>
    <t>Davidson Early College</t>
  </si>
  <si>
    <t>290315</t>
  </si>
  <si>
    <t>Davis-Townsend Elementary</t>
  </si>
  <si>
    <t>290316</t>
  </si>
  <si>
    <t>Denton Elementary</t>
  </si>
  <si>
    <t>290320</t>
  </si>
  <si>
    <t>E Lawson Brown Middle</t>
  </si>
  <si>
    <t>290322</t>
  </si>
  <si>
    <t>East Davidson High</t>
  </si>
  <si>
    <t>290324</t>
  </si>
  <si>
    <t>Fair Grove Elementary</t>
  </si>
  <si>
    <t>290328</t>
  </si>
  <si>
    <t>Friedberg Elementary</t>
  </si>
  <si>
    <t>290330</t>
  </si>
  <si>
    <t>Friendship Elementary</t>
  </si>
  <si>
    <t>290333</t>
  </si>
  <si>
    <t>Hasty Elementary</t>
  </si>
  <si>
    <t>290332</t>
  </si>
  <si>
    <t>Ledford Middle</t>
  </si>
  <si>
    <t>290334</t>
  </si>
  <si>
    <t>Ledford Senior High</t>
  </si>
  <si>
    <t>290336</t>
  </si>
  <si>
    <t>Midway Elementary</t>
  </si>
  <si>
    <t>290344</t>
  </si>
  <si>
    <t>North Davidson High</t>
  </si>
  <si>
    <t>290348</t>
  </si>
  <si>
    <t>North Davidson Middle</t>
  </si>
  <si>
    <t>290350</t>
  </si>
  <si>
    <t>Northwest Elementary</t>
  </si>
  <si>
    <t>290306</t>
  </si>
  <si>
    <t>Oak Grove High</t>
  </si>
  <si>
    <t>290349</t>
  </si>
  <si>
    <t>Oak Grove Middle</t>
  </si>
  <si>
    <t>290351</t>
  </si>
  <si>
    <t>Pilot Elementary</t>
  </si>
  <si>
    <t>290352</t>
  </si>
  <si>
    <t>Reeds Elementary</t>
  </si>
  <si>
    <t>290356</t>
  </si>
  <si>
    <t>Silver Valley Elementary</t>
  </si>
  <si>
    <t>290364</t>
  </si>
  <si>
    <t>South Davidson Middle and High</t>
  </si>
  <si>
    <t>290365</t>
  </si>
  <si>
    <t>Southmont Elementary</t>
  </si>
  <si>
    <t>290307</t>
  </si>
  <si>
    <t>Southwood Elementary</t>
  </si>
  <si>
    <t>290366</t>
  </si>
  <si>
    <t>Stoner-Thomas School</t>
  </si>
  <si>
    <t>290310</t>
  </si>
  <si>
    <t>Tyro Elementary</t>
  </si>
  <si>
    <t>290375</t>
  </si>
  <si>
    <t>Tyro Middle</t>
  </si>
  <si>
    <t>290376</t>
  </si>
  <si>
    <t>Wallburg Elementary</t>
  </si>
  <si>
    <t>290380</t>
  </si>
  <si>
    <t>Welcome Elementary</t>
  </si>
  <si>
    <t>290384</t>
  </si>
  <si>
    <t>West Davidson High</t>
  </si>
  <si>
    <t>290388</t>
  </si>
  <si>
    <t>Yadkin Valley Regional Career Academy</t>
  </si>
  <si>
    <t>290389</t>
  </si>
  <si>
    <t>Davie County Schools</t>
  </si>
  <si>
    <t>300LEA</t>
  </si>
  <si>
    <t>Central Davie Academy</t>
  </si>
  <si>
    <t>300306</t>
  </si>
  <si>
    <t>Cooleemee Elementary</t>
  </si>
  <si>
    <t>300308</t>
  </si>
  <si>
    <t>Cornatzer Elementary</t>
  </si>
  <si>
    <t>300310</t>
  </si>
  <si>
    <t>Davie County Early College High</t>
  </si>
  <si>
    <t>300314</t>
  </si>
  <si>
    <t>Davie County High</t>
  </si>
  <si>
    <t>300312</t>
  </si>
  <si>
    <t>Mocksville Elementary</t>
  </si>
  <si>
    <t>300320</t>
  </si>
  <si>
    <t>North Davie Middle</t>
  </si>
  <si>
    <t>300325</t>
  </si>
  <si>
    <t>Pinebrook Elementary</t>
  </si>
  <si>
    <t>300326</t>
  </si>
  <si>
    <t>Shady Grove Elementary</t>
  </si>
  <si>
    <t>300328</t>
  </si>
  <si>
    <t>South Davie Middle</t>
  </si>
  <si>
    <t>300330</t>
  </si>
  <si>
    <t>William Ellis Middle</t>
  </si>
  <si>
    <t>300337</t>
  </si>
  <si>
    <t>William R Davie Elementary</t>
  </si>
  <si>
    <t>300336</t>
  </si>
  <si>
    <t>Dillard Academy</t>
  </si>
  <si>
    <t>96C000</t>
  </si>
  <si>
    <t>Discovery Charter</t>
  </si>
  <si>
    <t>32T000</t>
  </si>
  <si>
    <t>Doral Academy of North Carolina</t>
  </si>
  <si>
    <t>93V000</t>
  </si>
  <si>
    <t>Duplin County Schools</t>
  </si>
  <si>
    <t>310LEA</t>
  </si>
  <si>
    <t>B F Grady Elementary</t>
  </si>
  <si>
    <t>310304</t>
  </si>
  <si>
    <t>Beulaville Elementary</t>
  </si>
  <si>
    <t>310308</t>
  </si>
  <si>
    <t>Chinquapin Elementary</t>
  </si>
  <si>
    <t>310330</t>
  </si>
  <si>
    <t>Duplin Early College High</t>
  </si>
  <si>
    <t>310338</t>
  </si>
  <si>
    <t>East Duplin High</t>
  </si>
  <si>
    <t>310344</t>
  </si>
  <si>
    <t>James Kenan High</t>
  </si>
  <si>
    <t>310352</t>
  </si>
  <si>
    <t>Kenansville Elementary</t>
  </si>
  <si>
    <t>310356</t>
  </si>
  <si>
    <t>North Duplin Elementary</t>
  </si>
  <si>
    <t>310360</t>
  </si>
  <si>
    <t>North Duplin Jr Sr High</t>
  </si>
  <si>
    <t>310364</t>
  </si>
  <si>
    <t>Rose Hill-Magnolia Elementary</t>
  </si>
  <si>
    <t>310384</t>
  </si>
  <si>
    <t>Wallace Elementary</t>
  </si>
  <si>
    <t>310388</t>
  </si>
  <si>
    <t>Wallace-Rose Hill High</t>
  </si>
  <si>
    <t>310392</t>
  </si>
  <si>
    <t>Warsaw Elementary</t>
  </si>
  <si>
    <t>310336</t>
  </si>
  <si>
    <t>Durham Charter School</t>
  </si>
  <si>
    <t>32B000</t>
  </si>
  <si>
    <t>Durham Public Schools</t>
  </si>
  <si>
    <t>320LEA</t>
  </si>
  <si>
    <t>Bethesda Elementary</t>
  </si>
  <si>
    <t>320304</t>
  </si>
  <si>
    <t>Brogden Middle</t>
  </si>
  <si>
    <t>320306</t>
  </si>
  <si>
    <t>Burton Elementary</t>
  </si>
  <si>
    <t>320308</t>
  </si>
  <si>
    <t>C C Spaulding Elementary</t>
  </si>
  <si>
    <t>320374</t>
  </si>
  <si>
    <t>C E Jordan High</t>
  </si>
  <si>
    <t>320312</t>
  </si>
  <si>
    <t>City of Medicine Academy</t>
  </si>
  <si>
    <t>320317</t>
  </si>
  <si>
    <t>Club Boulevard Elementary</t>
  </si>
  <si>
    <t>320318</t>
  </si>
  <si>
    <t>320319</t>
  </si>
  <si>
    <t>Durham Early College of Health Sciences</t>
  </si>
  <si>
    <t>320353</t>
  </si>
  <si>
    <t>Durham School of Technology</t>
  </si>
  <si>
    <t>320701</t>
  </si>
  <si>
    <t>Durham School of the Arts</t>
  </si>
  <si>
    <t>320323</t>
  </si>
  <si>
    <t>Durham's Performance Learning Center</t>
  </si>
  <si>
    <t>320322</t>
  </si>
  <si>
    <t>E K Powe Elementary</t>
  </si>
  <si>
    <t>320363</t>
  </si>
  <si>
    <t>Easley Elementary</t>
  </si>
  <si>
    <t>320313</t>
  </si>
  <si>
    <t>Eastway Elementary</t>
  </si>
  <si>
    <t>320310</t>
  </si>
  <si>
    <t>Eno Valley Elementary</t>
  </si>
  <si>
    <t>320315</t>
  </si>
  <si>
    <t>Fayetteville Street Elementary</t>
  </si>
  <si>
    <t>320344</t>
  </si>
  <si>
    <t>Forest View Elementary</t>
  </si>
  <si>
    <t>320332</t>
  </si>
  <si>
    <t>George L Carrington Middle</t>
  </si>
  <si>
    <t>320316</t>
  </si>
  <si>
    <t>George Watts Elementary</t>
  </si>
  <si>
    <t>320347</t>
  </si>
  <si>
    <t>Glenn Elementary</t>
  </si>
  <si>
    <t>320320</t>
  </si>
  <si>
    <t>Hillandale Elementary</t>
  </si>
  <si>
    <t>320324</t>
  </si>
  <si>
    <t>Hillside High</t>
  </si>
  <si>
    <t>320325</t>
  </si>
  <si>
    <t>Holt Elementary</t>
  </si>
  <si>
    <t>320328</t>
  </si>
  <si>
    <t>Hope Valley Elementary</t>
  </si>
  <si>
    <t>320327</t>
  </si>
  <si>
    <t>Ignite Online Academy</t>
  </si>
  <si>
    <t>320401</t>
  </si>
  <si>
    <t>J D Clement Early College HS</t>
  </si>
  <si>
    <t>320309</t>
  </si>
  <si>
    <t>James E Shepard Middle</t>
  </si>
  <si>
    <t>320338</t>
  </si>
  <si>
    <t>Lakeview School</t>
  </si>
  <si>
    <t>320341</t>
  </si>
  <si>
    <t>Lakewood Elementary</t>
  </si>
  <si>
    <t>320339</t>
  </si>
  <si>
    <t>Lakewood Montessori Middle</t>
  </si>
  <si>
    <t>320342</t>
  </si>
  <si>
    <t>Little River Elementary</t>
  </si>
  <si>
    <t>320340</t>
  </si>
  <si>
    <t>Lowe's Grove Middle</t>
  </si>
  <si>
    <t>320346</t>
  </si>
  <si>
    <t>Lucas Middle</t>
  </si>
  <si>
    <t>320343</t>
  </si>
  <si>
    <t>Lyons Farm Elementary</t>
  </si>
  <si>
    <t>320349</t>
  </si>
  <si>
    <t>Mangum Elementary</t>
  </si>
  <si>
    <t>320348</t>
  </si>
  <si>
    <t>Merrick-Moore Elementary</t>
  </si>
  <si>
    <t>320352</t>
  </si>
  <si>
    <t>Morehead Montessori</t>
  </si>
  <si>
    <t>320354</t>
  </si>
  <si>
    <t>Murray-Massenburg Elementary</t>
  </si>
  <si>
    <t>320351</t>
  </si>
  <si>
    <t>Neal Middle</t>
  </si>
  <si>
    <t>320355</t>
  </si>
  <si>
    <t>Northern High</t>
  </si>
  <si>
    <t>320356</t>
  </si>
  <si>
    <t>Oak Grove Elementary</t>
  </si>
  <si>
    <t>320360</t>
  </si>
  <si>
    <t>Parkwood Elementary</t>
  </si>
  <si>
    <t>320362</t>
  </si>
  <si>
    <t>Pearsontown Elementary</t>
  </si>
  <si>
    <t>320364</t>
  </si>
  <si>
    <t>R N Harris Elementary</t>
  </si>
  <si>
    <t>320367</t>
  </si>
  <si>
    <t>Riverside High</t>
  </si>
  <si>
    <t>320365</t>
  </si>
  <si>
    <t>Rogers-Herr Middle</t>
  </si>
  <si>
    <t>320370</t>
  </si>
  <si>
    <t>Sandy Ridge Elementary</t>
  </si>
  <si>
    <t>320369</t>
  </si>
  <si>
    <t>Sherwood Githens Middle</t>
  </si>
  <si>
    <t>320366</t>
  </si>
  <si>
    <t>Southern School of Energy and Sustainabi</t>
  </si>
  <si>
    <t>320368</t>
  </si>
  <si>
    <t>Southwest Elementary</t>
  </si>
  <si>
    <t>320372</t>
  </si>
  <si>
    <t>Spring Valley Elementary</t>
  </si>
  <si>
    <t>320376</t>
  </si>
  <si>
    <t>The School for Creative Studies</t>
  </si>
  <si>
    <t>320314</t>
  </si>
  <si>
    <t>W G Pearson Elementary</t>
  </si>
  <si>
    <t>320388</t>
  </si>
  <si>
    <t>Y E Smith Elementary</t>
  </si>
  <si>
    <t>320400</t>
  </si>
  <si>
    <t>East Voyager Academy of Charlotte</t>
  </si>
  <si>
    <t>61W000</t>
  </si>
  <si>
    <t>East Wake Academy</t>
  </si>
  <si>
    <t>92G000</t>
  </si>
  <si>
    <t>Eastern NC School for the Deaf</t>
  </si>
  <si>
    <t>296300</t>
  </si>
  <si>
    <t>ECU Community School</t>
  </si>
  <si>
    <t>74Z000</t>
  </si>
  <si>
    <t>Edenton-Chowan Schools</t>
  </si>
  <si>
    <t>210LEA</t>
  </si>
  <si>
    <t>Chowan Middle</t>
  </si>
  <si>
    <t>210304</t>
  </si>
  <si>
    <t>D F Walker Elementary</t>
  </si>
  <si>
    <t>210306</t>
  </si>
  <si>
    <t>John A Holmes High</t>
  </si>
  <si>
    <t>210312</t>
  </si>
  <si>
    <t>210316</t>
  </si>
  <si>
    <t>Edgecombe County Public Schools</t>
  </si>
  <si>
    <t>330LEA</t>
  </si>
  <si>
    <t>Baskerville Elementary</t>
  </si>
  <si>
    <t>330376</t>
  </si>
  <si>
    <t>Coker-Wimberly Elementary</t>
  </si>
  <si>
    <t>330312</t>
  </si>
  <si>
    <t>D S Johnson Elementary</t>
  </si>
  <si>
    <t>330374</t>
  </si>
  <si>
    <t>EDGE Academy of Health Sciences</t>
  </si>
  <si>
    <t>330368</t>
  </si>
  <si>
    <t>Edgecombe Early College High</t>
  </si>
  <si>
    <t>330326</t>
  </si>
  <si>
    <t>330372</t>
  </si>
  <si>
    <t>G W Bulluck Elementary</t>
  </si>
  <si>
    <t>330304</t>
  </si>
  <si>
    <t>G W Carver Elementary</t>
  </si>
  <si>
    <t>330308</t>
  </si>
  <si>
    <t>J W Parker Middle</t>
  </si>
  <si>
    <t>330378</t>
  </si>
  <si>
    <t>Martin Millennium Academy</t>
  </si>
  <si>
    <t>330360</t>
  </si>
  <si>
    <t>North Edgecombe High</t>
  </si>
  <si>
    <t>330328</t>
  </si>
  <si>
    <t>330332</t>
  </si>
  <si>
    <t>Princeville Elementary</t>
  </si>
  <si>
    <t>330334</t>
  </si>
  <si>
    <t>South Edgecombe Middle</t>
  </si>
  <si>
    <t>330340</t>
  </si>
  <si>
    <t>SouthWest Edgecombe High</t>
  </si>
  <si>
    <t>330350</t>
  </si>
  <si>
    <t>Stocks Elementary</t>
  </si>
  <si>
    <t>330354</t>
  </si>
  <si>
    <t>Tarboro High</t>
  </si>
  <si>
    <t>330358</t>
  </si>
  <si>
    <t>W A Pattillo Middle</t>
  </si>
  <si>
    <t>330344</t>
  </si>
  <si>
    <t>West Edgecombe Middle</t>
  </si>
  <si>
    <t>330348</t>
  </si>
  <si>
    <t>Elizabeth City-Pasquotank Public Schools</t>
  </si>
  <si>
    <t>700LEA</t>
  </si>
  <si>
    <t>700306</t>
  </si>
  <si>
    <t>Elizabeth City Middle</t>
  </si>
  <si>
    <t>700308</t>
  </si>
  <si>
    <t>Elizabeth City Pasquotank Early College</t>
  </si>
  <si>
    <t>700325</t>
  </si>
  <si>
    <t>H L Trigg Community</t>
  </si>
  <si>
    <t>700310</t>
  </si>
  <si>
    <t>J C Sawyer Elementary</t>
  </si>
  <si>
    <t>700316</t>
  </si>
  <si>
    <t>Northeastern High</t>
  </si>
  <si>
    <t>700317</t>
  </si>
  <si>
    <t>700314</t>
  </si>
  <si>
    <t>P W Moore Elementary</t>
  </si>
  <si>
    <t>700320</t>
  </si>
  <si>
    <t>Pasquotank County High</t>
  </si>
  <si>
    <t>700319</t>
  </si>
  <si>
    <t>River Road Middle</t>
  </si>
  <si>
    <t>700322</t>
  </si>
  <si>
    <t>Sheep-Harney Elementary</t>
  </si>
  <si>
    <t>700324</t>
  </si>
  <si>
    <t>Weeksville Elementary</t>
  </si>
  <si>
    <t>700328</t>
  </si>
  <si>
    <t>Elkin City Schools</t>
  </si>
  <si>
    <t>861LEA</t>
  </si>
  <si>
    <t>Elkin Elementary</t>
  </si>
  <si>
    <t>861304</t>
  </si>
  <si>
    <t>Elkin High</t>
  </si>
  <si>
    <t>861308</t>
  </si>
  <si>
    <t>Elkin Middle</t>
  </si>
  <si>
    <t>861312</t>
  </si>
  <si>
    <t>Emereau Bladen</t>
  </si>
  <si>
    <t>09B000</t>
  </si>
  <si>
    <t>Endeavor Charter School</t>
  </si>
  <si>
    <t>92S000</t>
  </si>
  <si>
    <t>Eno River Academy</t>
  </si>
  <si>
    <t>68A000</t>
  </si>
  <si>
    <t>Envision Science Academy</t>
  </si>
  <si>
    <t>92Y000</t>
  </si>
  <si>
    <t>Evergreen Community Charter</t>
  </si>
  <si>
    <t>11A000</t>
  </si>
  <si>
    <t>Excelsior Classical Academy</t>
  </si>
  <si>
    <t>32R000</t>
  </si>
  <si>
    <t>Faith Academy Charter School</t>
  </si>
  <si>
    <t>80C000</t>
  </si>
  <si>
    <t>Falls Lake Academy</t>
  </si>
  <si>
    <t>39A000</t>
  </si>
  <si>
    <t>FernLeaf</t>
  </si>
  <si>
    <t>45B000</t>
  </si>
  <si>
    <t>Forsyth Academy</t>
  </si>
  <si>
    <t>34F000</t>
  </si>
  <si>
    <t>Francine Delany New School</t>
  </si>
  <si>
    <t>11K000</t>
  </si>
  <si>
    <t>Franklin Academy</t>
  </si>
  <si>
    <t>92F000</t>
  </si>
  <si>
    <t>Franklin County Schools</t>
  </si>
  <si>
    <t>350LEA</t>
  </si>
  <si>
    <t>Bunn Elementary</t>
  </si>
  <si>
    <t>350304</t>
  </si>
  <si>
    <t>Bunn High</t>
  </si>
  <si>
    <t>350308</t>
  </si>
  <si>
    <t>Bunn Middle</t>
  </si>
  <si>
    <t>350310</t>
  </si>
  <si>
    <t>Cedar Creek Middle</t>
  </si>
  <si>
    <t>350312</t>
  </si>
  <si>
    <t>Edward Best Elementary</t>
  </si>
  <si>
    <t>350316</t>
  </si>
  <si>
    <t>Franklin County Early College</t>
  </si>
  <si>
    <t>350317</t>
  </si>
  <si>
    <t>Franklinton Elementary</t>
  </si>
  <si>
    <t>350318</t>
  </si>
  <si>
    <t>Franklinton High</t>
  </si>
  <si>
    <t>350321</t>
  </si>
  <si>
    <t>Franklinton Middle</t>
  </si>
  <si>
    <t>350324</t>
  </si>
  <si>
    <t>Laurel Mill Elementary</t>
  </si>
  <si>
    <t>350330</t>
  </si>
  <si>
    <t>Long Mill Elementary</t>
  </si>
  <si>
    <t>350331</t>
  </si>
  <si>
    <t>Louisburg Elementary</t>
  </si>
  <si>
    <t>350332</t>
  </si>
  <si>
    <t>Louisburg Magnet High</t>
  </si>
  <si>
    <t>350336</t>
  </si>
  <si>
    <t>Royal Elementary</t>
  </si>
  <si>
    <t>350339</t>
  </si>
  <si>
    <t>Terrell Lane Middle</t>
  </si>
  <si>
    <t>350338</t>
  </si>
  <si>
    <t>Youngsville Elementary</t>
  </si>
  <si>
    <t>350340</t>
  </si>
  <si>
    <t>Gaston County Schools</t>
  </si>
  <si>
    <t>360LEA</t>
  </si>
  <si>
    <t>Ashbrook High</t>
  </si>
  <si>
    <t>360310</t>
  </si>
  <si>
    <t>Belmont Central Elementary</t>
  </si>
  <si>
    <t>360320</t>
  </si>
  <si>
    <t>Belmont Middle</t>
  </si>
  <si>
    <t>360324</t>
  </si>
  <si>
    <t>Bessemer City Central Elem</t>
  </si>
  <si>
    <t>360332</t>
  </si>
  <si>
    <t>Bessemer City High</t>
  </si>
  <si>
    <t>360336</t>
  </si>
  <si>
    <t>Bessemer City Middle</t>
  </si>
  <si>
    <t>360436</t>
  </si>
  <si>
    <t>Bessemer City Primary</t>
  </si>
  <si>
    <t>360338</t>
  </si>
  <si>
    <t>Brookside Elementary</t>
  </si>
  <si>
    <t>360340</t>
  </si>
  <si>
    <t>Carr Elementary</t>
  </si>
  <si>
    <t>360344</t>
  </si>
  <si>
    <t>Catawba Heights Elementary</t>
  </si>
  <si>
    <t>360348</t>
  </si>
  <si>
    <t>Chapel Grove Elementary</t>
  </si>
  <si>
    <t>360352</t>
  </si>
  <si>
    <t>Cherryville Elementary</t>
  </si>
  <si>
    <t>360364</t>
  </si>
  <si>
    <t>Cherryville High</t>
  </si>
  <si>
    <t>360360</t>
  </si>
  <si>
    <t>Costner Elementary</t>
  </si>
  <si>
    <t>360376</t>
  </si>
  <si>
    <t>Cramerton Middle</t>
  </si>
  <si>
    <t>360380</t>
  </si>
  <si>
    <t>East Gaston High</t>
  </si>
  <si>
    <t>360390</t>
  </si>
  <si>
    <t>Edward D Sadler Jr Elementary School</t>
  </si>
  <si>
    <t>360392</t>
  </si>
  <si>
    <t>Forestview High</t>
  </si>
  <si>
    <t>360396</t>
  </si>
  <si>
    <t>Gardner Park Elementary</t>
  </si>
  <si>
    <t>360400</t>
  </si>
  <si>
    <t>Gaston Early College High School</t>
  </si>
  <si>
    <t>360337</t>
  </si>
  <si>
    <t>Gaston Early College of Medical Sciences</t>
  </si>
  <si>
    <t>360342</t>
  </si>
  <si>
    <t>Gaston Virtual Academy</t>
  </si>
  <si>
    <t>360550</t>
  </si>
  <si>
    <t>H H Beam Elementary</t>
  </si>
  <si>
    <t>360492</t>
  </si>
  <si>
    <t>Hawks Nest STEAM Academy</t>
  </si>
  <si>
    <t>360420</t>
  </si>
  <si>
    <t>Highland Sch of Technology</t>
  </si>
  <si>
    <t>360418</t>
  </si>
  <si>
    <t>Holbrook Middle</t>
  </si>
  <si>
    <t>360426</t>
  </si>
  <si>
    <t>Hunter Huss High</t>
  </si>
  <si>
    <t>360428</t>
  </si>
  <si>
    <t>Ida Rankin Elementary School</t>
  </si>
  <si>
    <t>360482</t>
  </si>
  <si>
    <t>J B Page Primary School</t>
  </si>
  <si>
    <t>360430</t>
  </si>
  <si>
    <t>John Chavis Middle School</t>
  </si>
  <si>
    <t>360431</t>
  </si>
  <si>
    <t>Kiser Elementary</t>
  </si>
  <si>
    <t>360432</t>
  </si>
  <si>
    <t>Lingerfeldt Elementary</t>
  </si>
  <si>
    <t>360438</t>
  </si>
  <si>
    <t>Lowell Elementary</t>
  </si>
  <si>
    <t>360440</t>
  </si>
  <si>
    <t>McAdenville Elementary</t>
  </si>
  <si>
    <t>360448</t>
  </si>
  <si>
    <t>Mount Holly Middle</t>
  </si>
  <si>
    <t>360456</t>
  </si>
  <si>
    <t>New Hope Elementary</t>
  </si>
  <si>
    <t>360464</t>
  </si>
  <si>
    <t>North Belmont Elementary</t>
  </si>
  <si>
    <t>360468</t>
  </si>
  <si>
    <t>North Gaston High</t>
  </si>
  <si>
    <t>360470</t>
  </si>
  <si>
    <t>360478</t>
  </si>
  <si>
    <t>Pleasant Ridge Elementary</t>
  </si>
  <si>
    <t>360480</t>
  </si>
  <si>
    <t>Robinson Elementary</t>
  </si>
  <si>
    <t>360488</t>
  </si>
  <si>
    <t>Sherwood Elementary</t>
  </si>
  <si>
    <t>360490</t>
  </si>
  <si>
    <t>South Point High</t>
  </si>
  <si>
    <t>360494</t>
  </si>
  <si>
    <t>Southwest Middle</t>
  </si>
  <si>
    <t>360498</t>
  </si>
  <si>
    <t>Springfield Primary</t>
  </si>
  <si>
    <t>360499</t>
  </si>
  <si>
    <t>Stanley Middle</t>
  </si>
  <si>
    <t>360500</t>
  </si>
  <si>
    <t>Stuart W Cramer High</t>
  </si>
  <si>
    <t>360378</t>
  </si>
  <si>
    <t>Tryon Elementary</t>
  </si>
  <si>
    <t>360504</t>
  </si>
  <si>
    <t>W A Bess Elementary School</t>
  </si>
  <si>
    <t>360510</t>
  </si>
  <si>
    <t>W B Beam Intermediate School</t>
  </si>
  <si>
    <t>360339</t>
  </si>
  <si>
    <t>W C Friday Middle School</t>
  </si>
  <si>
    <t>360514</t>
  </si>
  <si>
    <t>W P Grier Middle School</t>
  </si>
  <si>
    <t>360408</t>
  </si>
  <si>
    <t>Warlick Academy</t>
  </si>
  <si>
    <t>360372</t>
  </si>
  <si>
    <t>Webb Street School</t>
  </si>
  <si>
    <t>360394</t>
  </si>
  <si>
    <t>Woodhill Elementary</t>
  </si>
  <si>
    <t>360520</t>
  </si>
  <si>
    <t>York Chester Middle</t>
  </si>
  <si>
    <t>360526</t>
  </si>
  <si>
    <t>Gate City Charter</t>
  </si>
  <si>
    <t>41L000</t>
  </si>
  <si>
    <t>Gates County Schools</t>
  </si>
  <si>
    <t>370LEA</t>
  </si>
  <si>
    <t>Buckland Elementary</t>
  </si>
  <si>
    <t>370304</t>
  </si>
  <si>
    <t>Central Middle School</t>
  </si>
  <si>
    <t>370308</t>
  </si>
  <si>
    <t>Gates County Senior High</t>
  </si>
  <si>
    <t>370312</t>
  </si>
  <si>
    <t>Gatesville Elementary</t>
  </si>
  <si>
    <t>370316</t>
  </si>
  <si>
    <t>T S Cooper Elementary</t>
  </si>
  <si>
    <t>370324</t>
  </si>
  <si>
    <t>Girls Leadership Academy of Wilmington</t>
  </si>
  <si>
    <t>65G000</t>
  </si>
  <si>
    <t>Global Scholars Academy</t>
  </si>
  <si>
    <t>32M000</t>
  </si>
  <si>
    <t>Governor Morehead School for the Blind</t>
  </si>
  <si>
    <t>298300</t>
  </si>
  <si>
    <t>Graham County Schools</t>
  </si>
  <si>
    <t>380LEA</t>
  </si>
  <si>
    <t>Robbinsville Elementary</t>
  </si>
  <si>
    <t>380306</t>
  </si>
  <si>
    <t>Robbinsville High</t>
  </si>
  <si>
    <t>380308</t>
  </si>
  <si>
    <t>Robbinsville Middle</t>
  </si>
  <si>
    <t>380310</t>
  </si>
  <si>
    <t>Granville County Schools</t>
  </si>
  <si>
    <t>390LEA</t>
  </si>
  <si>
    <t>Butner-Stem Elementary</t>
  </si>
  <si>
    <t>390311</t>
  </si>
  <si>
    <t>C. G. Credle Elementary</t>
  </si>
  <si>
    <t>390312</t>
  </si>
  <si>
    <t>Granville Academy</t>
  </si>
  <si>
    <t>390321</t>
  </si>
  <si>
    <t>Granville Central Middle School</t>
  </si>
  <si>
    <t>390335</t>
  </si>
  <si>
    <t>Granville Early College High</t>
  </si>
  <si>
    <t>390323</t>
  </si>
  <si>
    <t>J. F. Webb High</t>
  </si>
  <si>
    <t>390324</t>
  </si>
  <si>
    <t>Mount Energy Elementary</t>
  </si>
  <si>
    <t>390333</t>
  </si>
  <si>
    <t>Northern Granville Middle</t>
  </si>
  <si>
    <t>390334</t>
  </si>
  <si>
    <t>Phoenix Academy</t>
  </si>
  <si>
    <t>390314</t>
  </si>
  <si>
    <t>South Granville High</t>
  </si>
  <si>
    <t>390352</t>
  </si>
  <si>
    <t>Stovall-Shaw Elementary</t>
  </si>
  <si>
    <t>390360</t>
  </si>
  <si>
    <t>Tar River Elementary</t>
  </si>
  <si>
    <t>390362</t>
  </si>
  <si>
    <t>West Oxford Elementary</t>
  </si>
  <si>
    <t>390364</t>
  </si>
  <si>
    <t>Wilton Elementary</t>
  </si>
  <si>
    <t>390368</t>
  </si>
  <si>
    <t>Gray Stone Day</t>
  </si>
  <si>
    <t>84B000</t>
  </si>
  <si>
    <t>Greene County Schools</t>
  </si>
  <si>
    <t>400LEA</t>
  </si>
  <si>
    <t>Greene Central High</t>
  </si>
  <si>
    <t>400308</t>
  </si>
  <si>
    <t>Greene County Intermediate</t>
  </si>
  <si>
    <t>400318</t>
  </si>
  <si>
    <t>Greene County Middle</t>
  </si>
  <si>
    <t>400312</t>
  </si>
  <si>
    <t>Greene Early College High</t>
  </si>
  <si>
    <t>400315</t>
  </si>
  <si>
    <t>Snow Hill Primary</t>
  </si>
  <si>
    <t>400321</t>
  </si>
  <si>
    <t>West Greene Elementary</t>
  </si>
  <si>
    <t>400332</t>
  </si>
  <si>
    <t>Greensboro Academy</t>
  </si>
  <si>
    <t>41B000</t>
  </si>
  <si>
    <t>Guilford County Schools</t>
  </si>
  <si>
    <t>410LEA</t>
  </si>
  <si>
    <t>A&amp;T Four Middle College</t>
  </si>
  <si>
    <t>410483</t>
  </si>
  <si>
    <t>Academy at Smith</t>
  </si>
  <si>
    <t>410545</t>
  </si>
  <si>
    <t>Alamance Elementary</t>
  </si>
  <si>
    <t>410304</t>
  </si>
  <si>
    <t>Allen Jay Elementary</t>
  </si>
  <si>
    <t>410310</t>
  </si>
  <si>
    <t>Allen Jay Middle - A Preparatory Academy</t>
  </si>
  <si>
    <t>410311</t>
  </si>
  <si>
    <t>Allen Middle</t>
  </si>
  <si>
    <t>410316</t>
  </si>
  <si>
    <t>Ben L. Smith High School</t>
  </si>
  <si>
    <t>410544</t>
  </si>
  <si>
    <t>Bessemer Elementary</t>
  </si>
  <si>
    <t>410328</t>
  </si>
  <si>
    <t>Bluford Elementary</t>
  </si>
  <si>
    <t>410331</t>
  </si>
  <si>
    <t>Brightwood Elementary</t>
  </si>
  <si>
    <t>410334</t>
  </si>
  <si>
    <t>Brooks Global Elementary</t>
  </si>
  <si>
    <t>410337</t>
  </si>
  <si>
    <t>Brown Summit Middle</t>
  </si>
  <si>
    <t>410341</t>
  </si>
  <si>
    <t>C Joyner Greene Education Center</t>
  </si>
  <si>
    <t>410458</t>
  </si>
  <si>
    <t>Ceasar Cone Elementary</t>
  </si>
  <si>
    <t>410349</t>
  </si>
  <si>
    <t>Clara J Peck Elementary</t>
  </si>
  <si>
    <t>410514</t>
  </si>
  <si>
    <t>410343</t>
  </si>
  <si>
    <t>Colfax Elementary</t>
  </si>
  <si>
    <t>410346</t>
  </si>
  <si>
    <t>Cyrus P Frazier Elementary</t>
  </si>
  <si>
    <t>410376</t>
  </si>
  <si>
    <t>David D Jones Elementary</t>
  </si>
  <si>
    <t>410430</t>
  </si>
  <si>
    <t>Doris Henderson Newcomers Sch</t>
  </si>
  <si>
    <t>410398</t>
  </si>
  <si>
    <t>Early College at Guilford</t>
  </si>
  <si>
    <t>410395</t>
  </si>
  <si>
    <t>Eastern Guilford High</t>
  </si>
  <si>
    <t>410358</t>
  </si>
  <si>
    <t>Eastern Guilford Middle</t>
  </si>
  <si>
    <t>410460</t>
  </si>
  <si>
    <t>Edwin A Alderman Elementary</t>
  </si>
  <si>
    <t>410307</t>
  </si>
  <si>
    <t>EP Pearce Elementary</t>
  </si>
  <si>
    <t>410491</t>
  </si>
  <si>
    <t>Erwin Montessori</t>
  </si>
  <si>
    <t>410361</t>
  </si>
  <si>
    <t>410364</t>
  </si>
  <si>
    <t>Ferndale Middle</t>
  </si>
  <si>
    <t>410367</t>
  </si>
  <si>
    <t>Florence Elementary</t>
  </si>
  <si>
    <t>410370</t>
  </si>
  <si>
    <t>Gateway Education Center</t>
  </si>
  <si>
    <t>410379</t>
  </si>
  <si>
    <t>GC Middle College High</t>
  </si>
  <si>
    <t>410390</t>
  </si>
  <si>
    <t>General Greene Elementary</t>
  </si>
  <si>
    <t>410388</t>
  </si>
  <si>
    <t>George C Simkins Jr Elementary</t>
  </si>
  <si>
    <t>410542</t>
  </si>
  <si>
    <t>Gibsonville Elementary</t>
  </si>
  <si>
    <t>410382</t>
  </si>
  <si>
    <t>Gillespie Park Elementary</t>
  </si>
  <si>
    <t>410385</t>
  </si>
  <si>
    <t>Grimsley High</t>
  </si>
  <si>
    <t>410394</t>
  </si>
  <si>
    <t>GTCC Middle College High</t>
  </si>
  <si>
    <t>410401</t>
  </si>
  <si>
    <t>Guilford eLearning University Prep</t>
  </si>
  <si>
    <t>410302</t>
  </si>
  <si>
    <t>Guilford Elementary</t>
  </si>
  <si>
    <t>410400</t>
  </si>
  <si>
    <t>Haynes Inman Education Center</t>
  </si>
  <si>
    <t>410464</t>
  </si>
  <si>
    <t>Herbin Metz Education Center</t>
  </si>
  <si>
    <t>410457</t>
  </si>
  <si>
    <t>High Point Central High</t>
  </si>
  <si>
    <t>410406</t>
  </si>
  <si>
    <t>Hunter Elementary</t>
  </si>
  <si>
    <t>410409</t>
  </si>
  <si>
    <t>Irving Park Elementary</t>
  </si>
  <si>
    <t>410412</t>
  </si>
  <si>
    <t>Jackson Middle</t>
  </si>
  <si>
    <t>410415</t>
  </si>
  <si>
    <t>James B Dudley High</t>
  </si>
  <si>
    <t>410355</t>
  </si>
  <si>
    <t>James Y Joyner Elementary</t>
  </si>
  <si>
    <t>410436</t>
  </si>
  <si>
    <t>Jamestown Elementary</t>
  </si>
  <si>
    <t>410418</t>
  </si>
  <si>
    <t>Jamestown Middle</t>
  </si>
  <si>
    <t>410421</t>
  </si>
  <si>
    <t>410423</t>
  </si>
  <si>
    <t>Jesse Wharton Elem</t>
  </si>
  <si>
    <t>410424</t>
  </si>
  <si>
    <t>John Van Lindley Elementary</t>
  </si>
  <si>
    <t>410451</t>
  </si>
  <si>
    <t>Johnson Street Global Studies</t>
  </si>
  <si>
    <t>410427</t>
  </si>
  <si>
    <t>Julius I Foust Elementary</t>
  </si>
  <si>
    <t>410373</t>
  </si>
  <si>
    <t>Kearns Academy</t>
  </si>
  <si>
    <t>410407</t>
  </si>
  <si>
    <t>Kernodle Middle</t>
  </si>
  <si>
    <t>410437</t>
  </si>
  <si>
    <t>Kirkman Park Elementary</t>
  </si>
  <si>
    <t>410439</t>
  </si>
  <si>
    <t>Kiser Middle</t>
  </si>
  <si>
    <t>410442</t>
  </si>
  <si>
    <t>Lincoln Academy</t>
  </si>
  <si>
    <t>410448</t>
  </si>
  <si>
    <t>Lucy Ragsdale High</t>
  </si>
  <si>
    <t>410529</t>
  </si>
  <si>
    <t>Madison Elementary</t>
  </si>
  <si>
    <t>410454</t>
  </si>
  <si>
    <t>McLeansville Elementary</t>
  </si>
  <si>
    <t>410461</t>
  </si>
  <si>
    <t>Mendenhall Middle</t>
  </si>
  <si>
    <t>410463</t>
  </si>
  <si>
    <t>Middle College at GTCC-Greensboro</t>
  </si>
  <si>
    <t>410399</t>
  </si>
  <si>
    <t>Middle College at GTCC-High Point</t>
  </si>
  <si>
    <t>410408</t>
  </si>
  <si>
    <t>Millis Road Elementary</t>
  </si>
  <si>
    <t>410466</t>
  </si>
  <si>
    <t>Monticello-Brown Summit Elem</t>
  </si>
  <si>
    <t>410340</t>
  </si>
  <si>
    <t>Montlieu Academy of Technology</t>
  </si>
  <si>
    <t>410469</t>
  </si>
  <si>
    <t>Morehead Elementary</t>
  </si>
  <si>
    <t>410472</t>
  </si>
  <si>
    <t>Nathanael Greene Elementary</t>
  </si>
  <si>
    <t>410481</t>
  </si>
  <si>
    <t>Northeast Guilford High</t>
  </si>
  <si>
    <t>410484</t>
  </si>
  <si>
    <t>Northeast Guilford Middle</t>
  </si>
  <si>
    <t>410487</t>
  </si>
  <si>
    <t>Northern Guilford Elementary</t>
  </si>
  <si>
    <t>410486</t>
  </si>
  <si>
    <t>Northern Guilford High</t>
  </si>
  <si>
    <t>410489</t>
  </si>
  <si>
    <t>Northern Guilford Middle</t>
  </si>
  <si>
    <t>410488</t>
  </si>
  <si>
    <t>Northwest Guilford High</t>
  </si>
  <si>
    <t>410490</t>
  </si>
  <si>
    <t>Northwest Guilford Middle</t>
  </si>
  <si>
    <t>410493</t>
  </si>
  <si>
    <t>Northwood Elementary</t>
  </si>
  <si>
    <t>410496</t>
  </si>
  <si>
    <t>410499</t>
  </si>
  <si>
    <t>Oak Ridge Elementary</t>
  </si>
  <si>
    <t>410502</t>
  </si>
  <si>
    <t>Oak View Elementary</t>
  </si>
  <si>
    <t>410505</t>
  </si>
  <si>
    <t>Otis L Hairston Sr Middle</t>
  </si>
  <si>
    <t>410402</t>
  </si>
  <si>
    <t>Page High</t>
  </si>
  <si>
    <t>410508</t>
  </si>
  <si>
    <t>Parkview Village Elementary</t>
  </si>
  <si>
    <t>410511</t>
  </si>
  <si>
    <t>Peeler-Hampton VPA School</t>
  </si>
  <si>
    <t>410393</t>
  </si>
  <si>
    <t>Penn-Griffin Schools</t>
  </si>
  <si>
    <t>410391</t>
  </si>
  <si>
    <t>Philip J Weaver Ed Center</t>
  </si>
  <si>
    <t>410589</t>
  </si>
  <si>
    <t>410522</t>
  </si>
  <si>
    <t>Pleasant Garden Elementary</t>
  </si>
  <si>
    <t>410523</t>
  </si>
  <si>
    <t>Pruette SCALE Academy</t>
  </si>
  <si>
    <t>410534</t>
  </si>
  <si>
    <t>Rankin Elementary</t>
  </si>
  <si>
    <t>410532</t>
  </si>
  <si>
    <t>Reedy Fork Elementary</t>
  </si>
  <si>
    <t>410530</t>
  </si>
  <si>
    <t>Ronald E. McNair Elementary</t>
  </si>
  <si>
    <t>410462</t>
  </si>
  <si>
    <t>SCALE School</t>
  </si>
  <si>
    <t>410533</t>
  </si>
  <si>
    <t>Sedalia Elementary</t>
  </si>
  <si>
    <t>410535</t>
  </si>
  <si>
    <t>Sedgefield Elementary</t>
  </si>
  <si>
    <t>410538</t>
  </si>
  <si>
    <t>Shadybrook Elementary</t>
  </si>
  <si>
    <t>410541</t>
  </si>
  <si>
    <t>Southeast Guilford High</t>
  </si>
  <si>
    <t>410547</t>
  </si>
  <si>
    <t>Southeast Guilford Middle</t>
  </si>
  <si>
    <t>410550</t>
  </si>
  <si>
    <t>Southern Elementary</t>
  </si>
  <si>
    <t>410553</t>
  </si>
  <si>
    <t>Southern Guilford High</t>
  </si>
  <si>
    <t>410556</t>
  </si>
  <si>
    <t>Southern Guilford Middle</t>
  </si>
  <si>
    <t>410313</t>
  </si>
  <si>
    <t>410559</t>
  </si>
  <si>
    <t>Southwest Guilford High</t>
  </si>
  <si>
    <t>410562</t>
  </si>
  <si>
    <t>Southwest Guilford Middle</t>
  </si>
  <si>
    <t>410565</t>
  </si>
  <si>
    <t>STEM Early College @ NC A&amp;T SU</t>
  </si>
  <si>
    <t>410569</t>
  </si>
  <si>
    <t>Sternberger Elementary</t>
  </si>
  <si>
    <t>410568</t>
  </si>
  <si>
    <t>Stokesdale Elementary</t>
  </si>
  <si>
    <t>410571</t>
  </si>
  <si>
    <t>Summerfield Elementary</t>
  </si>
  <si>
    <t>410574</t>
  </si>
  <si>
    <t>Sumner Elementary</t>
  </si>
  <si>
    <t>410577</t>
  </si>
  <si>
    <t>Sylvia Mendez Newcomers School</t>
  </si>
  <si>
    <t>410300</t>
  </si>
  <si>
    <t>T Wingate Andrews High</t>
  </si>
  <si>
    <t>410319</t>
  </si>
  <si>
    <t>Triangle Lake Montessori Elem</t>
  </si>
  <si>
    <t>410578</t>
  </si>
  <si>
    <t>UNCG Early/Middle College</t>
  </si>
  <si>
    <t>410579</t>
  </si>
  <si>
    <t>Union Hill Elementary</t>
  </si>
  <si>
    <t>410580</t>
  </si>
  <si>
    <t>Vandalia Elementary</t>
  </si>
  <si>
    <t>410583</t>
  </si>
  <si>
    <t>Waldo C Falkener Sr Elementary</t>
  </si>
  <si>
    <t>410366</t>
  </si>
  <si>
    <t>410586</t>
  </si>
  <si>
    <t>Welborn Middle</t>
  </si>
  <si>
    <t>410592</t>
  </si>
  <si>
    <t>Western Guilford High</t>
  </si>
  <si>
    <t>410595</t>
  </si>
  <si>
    <t>Western Guilford Middle</t>
  </si>
  <si>
    <t>410397</t>
  </si>
  <si>
    <t>Guilford Preparatory Academy</t>
  </si>
  <si>
    <t>41C000</t>
  </si>
  <si>
    <t>Halifax County Schools</t>
  </si>
  <si>
    <t>420LEA</t>
  </si>
  <si>
    <t>Aurelian Springs Institute of Global Lea</t>
  </si>
  <si>
    <t>420304</t>
  </si>
  <si>
    <t>Enfield Middle S.T.E.A.M. Academy</t>
  </si>
  <si>
    <t>420324</t>
  </si>
  <si>
    <t>Everetts Elementary S.T.E.M. Academy</t>
  </si>
  <si>
    <t>420328</t>
  </si>
  <si>
    <t>Halifax County Early College High</t>
  </si>
  <si>
    <t>420380</t>
  </si>
  <si>
    <t>Hollister Elementary Leadership Academy</t>
  </si>
  <si>
    <t>420336</t>
  </si>
  <si>
    <t>Inborden Elementary S.T.E.A.M. Academy</t>
  </si>
  <si>
    <t>420340</t>
  </si>
  <si>
    <t>Northwest Halifax Collegiate and Technic</t>
  </si>
  <si>
    <t>420346</t>
  </si>
  <si>
    <t>Pittman Elementary Leadership Academy</t>
  </si>
  <si>
    <t>420348</t>
  </si>
  <si>
    <t>Scotland Neck Elementary Leadership Acad</t>
  </si>
  <si>
    <t>420316</t>
  </si>
  <si>
    <t>Southeast Halifax Collegiate Prep Academ</t>
  </si>
  <si>
    <t>420358</t>
  </si>
  <si>
    <t>William R Davie Middle S.T.E.M. Academy</t>
  </si>
  <si>
    <t>420376</t>
  </si>
  <si>
    <t>Haliwa-Saponi Tribal School</t>
  </si>
  <si>
    <t>93A000</t>
  </si>
  <si>
    <t>Harnett County Schools</t>
  </si>
  <si>
    <t>430LEA</t>
  </si>
  <si>
    <t>Anderson Creek Primary</t>
  </si>
  <si>
    <t>430304</t>
  </si>
  <si>
    <t>Angier Elementary</t>
  </si>
  <si>
    <t>430308</t>
  </si>
  <si>
    <t>Benhaven Elementary</t>
  </si>
  <si>
    <t>430312</t>
  </si>
  <si>
    <t>Boone Trail Elementary</t>
  </si>
  <si>
    <t>430316</t>
  </si>
  <si>
    <t>Buies Creek Elementary</t>
  </si>
  <si>
    <t>430320</t>
  </si>
  <si>
    <t>Coats Elementary</t>
  </si>
  <si>
    <t>430328</t>
  </si>
  <si>
    <t>Coats-Erwin Middle</t>
  </si>
  <si>
    <t>430330</t>
  </si>
  <si>
    <t>Dunn Elementary</t>
  </si>
  <si>
    <t>430344</t>
  </si>
  <si>
    <t>Dunn Middle</t>
  </si>
  <si>
    <t>430332</t>
  </si>
  <si>
    <t>Erwin Elementary</t>
  </si>
  <si>
    <t>430336</t>
  </si>
  <si>
    <t>Harnett Central High</t>
  </si>
  <si>
    <t>430346</t>
  </si>
  <si>
    <t>Harnett Central Middle</t>
  </si>
  <si>
    <t>430347</t>
  </si>
  <si>
    <t>Harnett County Early College</t>
  </si>
  <si>
    <t>430341</t>
  </si>
  <si>
    <t>Harnett Virtual Academy</t>
  </si>
  <si>
    <t>430385</t>
  </si>
  <si>
    <t>430349</t>
  </si>
  <si>
    <t>Highland Middle</t>
  </si>
  <si>
    <t>430351</t>
  </si>
  <si>
    <t>Johnsonville Elementary</t>
  </si>
  <si>
    <t>430348</t>
  </si>
  <si>
    <t>LaFayette Year-Round</t>
  </si>
  <si>
    <t>430353</t>
  </si>
  <si>
    <t>Lillington-Shawtown Elementary</t>
  </si>
  <si>
    <t>430358</t>
  </si>
  <si>
    <t>North Harnett Primary</t>
  </si>
  <si>
    <t>430368</t>
  </si>
  <si>
    <t>Northwest Harnett Elementary</t>
  </si>
  <si>
    <t>430352</t>
  </si>
  <si>
    <t>Overhills Elementary</t>
  </si>
  <si>
    <t>430369</t>
  </si>
  <si>
    <t>Overhills High</t>
  </si>
  <si>
    <t>430371</t>
  </si>
  <si>
    <t>Overhills Middle</t>
  </si>
  <si>
    <t>430370</t>
  </si>
  <si>
    <t>South Harnett Elementary</t>
  </si>
  <si>
    <t>430376</t>
  </si>
  <si>
    <t>STAR Academy</t>
  </si>
  <si>
    <t>430345</t>
  </si>
  <si>
    <t>Triton High</t>
  </si>
  <si>
    <t>430378</t>
  </si>
  <si>
    <t>Western Harnett High</t>
  </si>
  <si>
    <t>430384</t>
  </si>
  <si>
    <t>Western Harnett Middle</t>
  </si>
  <si>
    <t>430386</t>
  </si>
  <si>
    <t>Haywood County Schools</t>
  </si>
  <si>
    <t>440LEA</t>
  </si>
  <si>
    <t>440314</t>
  </si>
  <si>
    <t>Bethel Middle</t>
  </si>
  <si>
    <t>440318</t>
  </si>
  <si>
    <t>Canton Middle</t>
  </si>
  <si>
    <t>440320</t>
  </si>
  <si>
    <t>Central Haywood High</t>
  </si>
  <si>
    <t>440326</t>
  </si>
  <si>
    <t>Clyde Elementary</t>
  </si>
  <si>
    <t>440328</t>
  </si>
  <si>
    <t>Haywood Early College</t>
  </si>
  <si>
    <t>440346</t>
  </si>
  <si>
    <t>Hazelwood Elementary</t>
  </si>
  <si>
    <t>440348</t>
  </si>
  <si>
    <t>Jonathan Valley Elementary</t>
  </si>
  <si>
    <t>440349</t>
  </si>
  <si>
    <t>Junaluska Elementary</t>
  </si>
  <si>
    <t>440350</t>
  </si>
  <si>
    <t>Meadowbrook Elementary</t>
  </si>
  <si>
    <t>440364</t>
  </si>
  <si>
    <t>North Canton Elementary</t>
  </si>
  <si>
    <t>440368</t>
  </si>
  <si>
    <t>Pisgah High</t>
  </si>
  <si>
    <t>440378</t>
  </si>
  <si>
    <t>Riverbend Elementary</t>
  </si>
  <si>
    <t>440332</t>
  </si>
  <si>
    <t>Tuscola High</t>
  </si>
  <si>
    <t>440390</t>
  </si>
  <si>
    <t>Waynesville Middle</t>
  </si>
  <si>
    <t>440396</t>
  </si>
  <si>
    <t>Henderson Collegiate</t>
  </si>
  <si>
    <t>91B000</t>
  </si>
  <si>
    <t>Henderson County Schools</t>
  </si>
  <si>
    <t>450LEA</t>
  </si>
  <si>
    <t>Apple Valley Middle</t>
  </si>
  <si>
    <t>450301</t>
  </si>
  <si>
    <t>Atkinson Elementary</t>
  </si>
  <si>
    <t>450302</t>
  </si>
  <si>
    <t>Bruce Drysdale Elementary</t>
  </si>
  <si>
    <t>450306</t>
  </si>
  <si>
    <t>450307</t>
  </si>
  <si>
    <t>Dana Elementary</t>
  </si>
  <si>
    <t>450308</t>
  </si>
  <si>
    <t>East Henderson High</t>
  </si>
  <si>
    <t>450316</t>
  </si>
  <si>
    <t>Edneyville Elementary</t>
  </si>
  <si>
    <t>450322</t>
  </si>
  <si>
    <t>Etowah Elementary</t>
  </si>
  <si>
    <t>450324</t>
  </si>
  <si>
    <t>Flat Rock Middle</t>
  </si>
  <si>
    <t>450328</t>
  </si>
  <si>
    <t>Fletcher Elementary</t>
  </si>
  <si>
    <t>450332</t>
  </si>
  <si>
    <t>Glenn C Marlow Elementary</t>
  </si>
  <si>
    <t>450339</t>
  </si>
  <si>
    <t>Henderson County Career Academy</t>
  </si>
  <si>
    <t>450343</t>
  </si>
  <si>
    <t>Henderson County Early College</t>
  </si>
  <si>
    <t>450354</t>
  </si>
  <si>
    <t>Hendersonville Elementary</t>
  </si>
  <si>
    <t>450333</t>
  </si>
  <si>
    <t>Hendersonville High</t>
  </si>
  <si>
    <t>450334</t>
  </si>
  <si>
    <t>Hendersonville Middle</t>
  </si>
  <si>
    <t>450335</t>
  </si>
  <si>
    <t>450336</t>
  </si>
  <si>
    <t>Mills River Elementary</t>
  </si>
  <si>
    <t>450340</t>
  </si>
  <si>
    <t>North Henderson High</t>
  </si>
  <si>
    <t>450341</t>
  </si>
  <si>
    <t>Rugby Middle</t>
  </si>
  <si>
    <t>450342</t>
  </si>
  <si>
    <t>Sugarloaf Elementary</t>
  </si>
  <si>
    <t>450344</t>
  </si>
  <si>
    <t>Upward Elementary</t>
  </si>
  <si>
    <t>450346</t>
  </si>
  <si>
    <t>West Henderson High</t>
  </si>
  <si>
    <t>450352</t>
  </si>
  <si>
    <t>Hertford County Schools</t>
  </si>
  <si>
    <t>460LEA</t>
  </si>
  <si>
    <t>Ahoskie Elementary</t>
  </si>
  <si>
    <t>460308</t>
  </si>
  <si>
    <t>Bearfield Primary</t>
  </si>
  <si>
    <t>460312</t>
  </si>
  <si>
    <t>CS Brown High - STEM Program</t>
  </si>
  <si>
    <t>460340</t>
  </si>
  <si>
    <t>Hertford Co Early College</t>
  </si>
  <si>
    <t>460322</t>
  </si>
  <si>
    <t>Hertford County High</t>
  </si>
  <si>
    <t>460320</t>
  </si>
  <si>
    <t>Hertford County Middle</t>
  </si>
  <si>
    <t>460318</t>
  </si>
  <si>
    <t>Riverview Elementary</t>
  </si>
  <si>
    <t>460332</t>
  </si>
  <si>
    <t>Hickory City Schools</t>
  </si>
  <si>
    <t>181LEA</t>
  </si>
  <si>
    <t>Grandview Middle</t>
  </si>
  <si>
    <t>181316</t>
  </si>
  <si>
    <t>Hickory Career Arts Magnet High School</t>
  </si>
  <si>
    <t>181318</t>
  </si>
  <si>
    <t>Hickory High</t>
  </si>
  <si>
    <t>181322</t>
  </si>
  <si>
    <t>Longview Elementary</t>
  </si>
  <si>
    <t>181332</t>
  </si>
  <si>
    <t>Northview Middle</t>
  </si>
  <si>
    <t>181312</t>
  </si>
  <si>
    <t>181336</t>
  </si>
  <si>
    <t>Southwest Primary</t>
  </si>
  <si>
    <t>181342</t>
  </si>
  <si>
    <t>Viewmont Elementary</t>
  </si>
  <si>
    <t>181344</t>
  </si>
  <si>
    <t>W M Jenkins Elementary</t>
  </si>
  <si>
    <t>181326</t>
  </si>
  <si>
    <t>Hobgood Charter School</t>
  </si>
  <si>
    <t>42B000</t>
  </si>
  <si>
    <t>Hoke County Schools</t>
  </si>
  <si>
    <t>470LEA</t>
  </si>
  <si>
    <t>Don D Steed Elementary</t>
  </si>
  <si>
    <t>470310</t>
  </si>
  <si>
    <t>East Hoke Middle</t>
  </si>
  <si>
    <t>470332</t>
  </si>
  <si>
    <t>Hawk Eye Elementary</t>
  </si>
  <si>
    <t>470330</t>
  </si>
  <si>
    <t>Hoke County High</t>
  </si>
  <si>
    <t>470312</t>
  </si>
  <si>
    <t>J W McLauchlin Elementary</t>
  </si>
  <si>
    <t>470316</t>
  </si>
  <si>
    <t>J W Turlington School</t>
  </si>
  <si>
    <t>470342</t>
  </si>
  <si>
    <t>Rockfish Hoke Elementary</t>
  </si>
  <si>
    <t>470340</t>
  </si>
  <si>
    <t>SandHoke Early College High</t>
  </si>
  <si>
    <t>470443</t>
  </si>
  <si>
    <t>Sandy Grove Elementary</t>
  </si>
  <si>
    <t>470441</t>
  </si>
  <si>
    <t>Sandy Grove Middle</t>
  </si>
  <si>
    <t>470442</t>
  </si>
  <si>
    <t>Scurlock Elementary</t>
  </si>
  <si>
    <t>470328</t>
  </si>
  <si>
    <t>Upchurch Elementary</t>
  </si>
  <si>
    <t>470346</t>
  </si>
  <si>
    <t>West Hoke Elementary</t>
  </si>
  <si>
    <t>470336</t>
  </si>
  <si>
    <t>West Hoke Middle</t>
  </si>
  <si>
    <t>470320</t>
  </si>
  <si>
    <t>Honor Prep</t>
  </si>
  <si>
    <t>62S000</t>
  </si>
  <si>
    <t>Hyde County Schools</t>
  </si>
  <si>
    <t>480LEA</t>
  </si>
  <si>
    <t>Hyde Academy</t>
  </si>
  <si>
    <t>480318</t>
  </si>
  <si>
    <t>Mattamuskeet School</t>
  </si>
  <si>
    <t>480306</t>
  </si>
  <si>
    <t>Ocracoke School</t>
  </si>
  <si>
    <t>480316</t>
  </si>
  <si>
    <t>IC Imagine</t>
  </si>
  <si>
    <t>11C000</t>
  </si>
  <si>
    <t>Iredell Charter Academy of Arts &amp;Science</t>
  </si>
  <si>
    <t>49G000</t>
  </si>
  <si>
    <t>Iredell-Statesville Schools</t>
  </si>
  <si>
    <t>490LEA</t>
  </si>
  <si>
    <t>Agriculture and Science Early College</t>
  </si>
  <si>
    <t>490307</t>
  </si>
  <si>
    <t>Career Academy and Technical School</t>
  </si>
  <si>
    <t>490310</t>
  </si>
  <si>
    <t>Celeste Henkel Elementary</t>
  </si>
  <si>
    <t>490312</t>
  </si>
  <si>
    <t>490316</t>
  </si>
  <si>
    <t>Cloverleaf Elementary</t>
  </si>
  <si>
    <t>490319</t>
  </si>
  <si>
    <t>Coddle Creek Elementary</t>
  </si>
  <si>
    <t>490318</t>
  </si>
  <si>
    <t>Collaborative College for Technology</t>
  </si>
  <si>
    <t>490320</t>
  </si>
  <si>
    <t>Cool Spring Elementary</t>
  </si>
  <si>
    <t>490324</t>
  </si>
  <si>
    <t>Crossroads Arts and Science Early Colleg</t>
  </si>
  <si>
    <t>490355</t>
  </si>
  <si>
    <t>Discovery School</t>
  </si>
  <si>
    <t>490325</t>
  </si>
  <si>
    <t>East Iredell Elementary</t>
  </si>
  <si>
    <t>490326</t>
  </si>
  <si>
    <t>East Iredell Middle</t>
  </si>
  <si>
    <t>490327</t>
  </si>
  <si>
    <t>Harmony Elementary</t>
  </si>
  <si>
    <t>490332</t>
  </si>
  <si>
    <t>Lake Norman Elementary</t>
  </si>
  <si>
    <t>490336</t>
  </si>
  <si>
    <t>Lake Norman High</t>
  </si>
  <si>
    <t>490335</t>
  </si>
  <si>
    <t>Lakeshore Elementary</t>
  </si>
  <si>
    <t>490337</t>
  </si>
  <si>
    <t>Lakeshore Middle</t>
  </si>
  <si>
    <t>490338</t>
  </si>
  <si>
    <t>N B Mills Elementary</t>
  </si>
  <si>
    <t>490345</t>
  </si>
  <si>
    <t>North Iredell High</t>
  </si>
  <si>
    <t>490346</t>
  </si>
  <si>
    <t>North Iredell Middle</t>
  </si>
  <si>
    <t>490349</t>
  </si>
  <si>
    <t>Northview Academy</t>
  </si>
  <si>
    <t>490350</t>
  </si>
  <si>
    <t>Oakwood Middle IB School</t>
  </si>
  <si>
    <t>490347</t>
  </si>
  <si>
    <t>Scotts Elementary</t>
  </si>
  <si>
    <t>490348</t>
  </si>
  <si>
    <t>490356</t>
  </si>
  <si>
    <t>Shepherd Elementary</t>
  </si>
  <si>
    <t>490360</t>
  </si>
  <si>
    <t>South Iredell High</t>
  </si>
  <si>
    <t>490362</t>
  </si>
  <si>
    <t>Statesville High</t>
  </si>
  <si>
    <t>490354</t>
  </si>
  <si>
    <t>The Brawley School</t>
  </si>
  <si>
    <t>490344</t>
  </si>
  <si>
    <t>Third Creek Elementary</t>
  </si>
  <si>
    <t>490363</t>
  </si>
  <si>
    <t>Third Creek Middle</t>
  </si>
  <si>
    <t>490352</t>
  </si>
  <si>
    <t>Troutman Elementary</t>
  </si>
  <si>
    <t>490364</t>
  </si>
  <si>
    <t>Troutman Middle</t>
  </si>
  <si>
    <t>490366</t>
  </si>
  <si>
    <t>Union Grove Elementary</t>
  </si>
  <si>
    <t>490368</t>
  </si>
  <si>
    <t>West Iredell High</t>
  </si>
  <si>
    <t>490380</t>
  </si>
  <si>
    <t>West Iredell Middle</t>
  </si>
  <si>
    <t>490384</t>
  </si>
  <si>
    <t>Woodland Heights Elementary</t>
  </si>
  <si>
    <t>490390</t>
  </si>
  <si>
    <t>Woodland Heights Middle</t>
  </si>
  <si>
    <t>490308</t>
  </si>
  <si>
    <t>Island Montessori Charter School</t>
  </si>
  <si>
    <t>65D000</t>
  </si>
  <si>
    <t>Jackson County Public Schools</t>
  </si>
  <si>
    <t>500LEA</t>
  </si>
  <si>
    <t>Blue Ridge Early College</t>
  </si>
  <si>
    <t>500302</t>
  </si>
  <si>
    <t>Blue Ridge School</t>
  </si>
  <si>
    <t>500316</t>
  </si>
  <si>
    <t>Cullowhee Valley School</t>
  </si>
  <si>
    <t>500304</t>
  </si>
  <si>
    <t>Fairview School</t>
  </si>
  <si>
    <t>500314</t>
  </si>
  <si>
    <t>Jackson Co Early College</t>
  </si>
  <si>
    <t>500323</t>
  </si>
  <si>
    <t>Jackson Community School</t>
  </si>
  <si>
    <t>500324</t>
  </si>
  <si>
    <t>Scotts Creek School</t>
  </si>
  <si>
    <t>500332</t>
  </si>
  <si>
    <t>Smokey Mountain Elementary</t>
  </si>
  <si>
    <t>500337</t>
  </si>
  <si>
    <t>Smoky Mountain High School</t>
  </si>
  <si>
    <t>500340</t>
  </si>
  <si>
    <t>Jackson Day School</t>
  </si>
  <si>
    <t>61X000</t>
  </si>
  <si>
    <t>Johnston Charter Academy</t>
  </si>
  <si>
    <t>51B000</t>
  </si>
  <si>
    <t>Johnston County Public Schools</t>
  </si>
  <si>
    <t>510LEA</t>
  </si>
  <si>
    <t>Archer Lodge Middle</t>
  </si>
  <si>
    <t>510364</t>
  </si>
  <si>
    <t>Benson Elementary</t>
  </si>
  <si>
    <t>510308</t>
  </si>
  <si>
    <t>Benson Middle</t>
  </si>
  <si>
    <t>510310</t>
  </si>
  <si>
    <t>Choice Plus Academy</t>
  </si>
  <si>
    <t>510323</t>
  </si>
  <si>
    <t>Clayton High</t>
  </si>
  <si>
    <t>510324</t>
  </si>
  <si>
    <t>Clayton Middle</t>
  </si>
  <si>
    <t>510412</t>
  </si>
  <si>
    <t>Cleveland Elementary</t>
  </si>
  <si>
    <t>510328</t>
  </si>
  <si>
    <t>Cleveland High</t>
  </si>
  <si>
    <t>510327</t>
  </si>
  <si>
    <t>Cleveland Middle</t>
  </si>
  <si>
    <t>510329</t>
  </si>
  <si>
    <t>Cooper Academy</t>
  </si>
  <si>
    <t>510330</t>
  </si>
  <si>
    <t>Corinth Holders High</t>
  </si>
  <si>
    <t>510333</t>
  </si>
  <si>
    <t>Corinth-Holders Elementary</t>
  </si>
  <si>
    <t>510332</t>
  </si>
  <si>
    <t>Dixon Road Elementary</t>
  </si>
  <si>
    <t>510334</t>
  </si>
  <si>
    <t>East Clayton Elementary</t>
  </si>
  <si>
    <t>510336</t>
  </si>
  <si>
    <t>Four Oaks Elementary</t>
  </si>
  <si>
    <t>510340</t>
  </si>
  <si>
    <t>Four Oaks Middle</t>
  </si>
  <si>
    <t>510342</t>
  </si>
  <si>
    <t>Glendale-Kenly Elementary</t>
  </si>
  <si>
    <t>510356</t>
  </si>
  <si>
    <t>JCPS Virtual Academy</t>
  </si>
  <si>
    <t>510365</t>
  </si>
  <si>
    <t>Johnston Co Early College Academy</t>
  </si>
  <si>
    <t>510367</t>
  </si>
  <si>
    <t>Johnston County Schools Career Technical</t>
  </si>
  <si>
    <t>510325</t>
  </si>
  <si>
    <t>McGee's Crossroads Elem</t>
  </si>
  <si>
    <t>510358</t>
  </si>
  <si>
    <t>McGee's Crossroads Middle</t>
  </si>
  <si>
    <t>510359</t>
  </si>
  <si>
    <t>Meadow School</t>
  </si>
  <si>
    <t>510360</t>
  </si>
  <si>
    <t>Micro Elementary</t>
  </si>
  <si>
    <t>510343</t>
  </si>
  <si>
    <t>North Johnston High</t>
  </si>
  <si>
    <t>510368</t>
  </si>
  <si>
    <t>North Johnston Middle</t>
  </si>
  <si>
    <t>510344</t>
  </si>
  <si>
    <t>Pine Level Elementary</t>
  </si>
  <si>
    <t>510372</t>
  </si>
  <si>
    <t>Polenta Elementary</t>
  </si>
  <si>
    <t>510410</t>
  </si>
  <si>
    <t>Powhatan Elementary</t>
  </si>
  <si>
    <t>510373</t>
  </si>
  <si>
    <t>Princeton Elementary</t>
  </si>
  <si>
    <t>510374</t>
  </si>
  <si>
    <t>Princeton High</t>
  </si>
  <si>
    <t>510376</t>
  </si>
  <si>
    <t>River Dell Elementary</t>
  </si>
  <si>
    <t>510377</t>
  </si>
  <si>
    <t>Riverwood Elementary</t>
  </si>
  <si>
    <t>510378</t>
  </si>
  <si>
    <t>Riverwood Middle</t>
  </si>
  <si>
    <t>510379</t>
  </si>
  <si>
    <t>Selma Elementary</t>
  </si>
  <si>
    <t>510388</t>
  </si>
  <si>
    <t>Selma Middle School</t>
  </si>
  <si>
    <t>510390</t>
  </si>
  <si>
    <t>Smithfield Middle</t>
  </si>
  <si>
    <t>510397</t>
  </si>
  <si>
    <t>Smithfield-Selma High</t>
  </si>
  <si>
    <t>510399</t>
  </si>
  <si>
    <t>South Johnston High</t>
  </si>
  <si>
    <t>510402</t>
  </si>
  <si>
    <t>South Smithfield Elementary</t>
  </si>
  <si>
    <t>510404</t>
  </si>
  <si>
    <t>Swift Creek Elementary</t>
  </si>
  <si>
    <t>510413</t>
  </si>
  <si>
    <t>Swift Creek Middle</t>
  </si>
  <si>
    <t>510411</t>
  </si>
  <si>
    <t>Thanksgiving Elementary</t>
  </si>
  <si>
    <t>510383</t>
  </si>
  <si>
    <t>The Innovation Academy at South Campus</t>
  </si>
  <si>
    <t>510382</t>
  </si>
  <si>
    <t>West Clayton Elementary</t>
  </si>
  <si>
    <t>510326</t>
  </si>
  <si>
    <t>West Johnston High</t>
  </si>
  <si>
    <t>510406</t>
  </si>
  <si>
    <t>West Smithfield Elementary</t>
  </si>
  <si>
    <t>510396</t>
  </si>
  <si>
    <t>West View Elementary</t>
  </si>
  <si>
    <t>510414</t>
  </si>
  <si>
    <t>Wilson's Mills Elementary</t>
  </si>
  <si>
    <t>510408</t>
  </si>
  <si>
    <t>Jones County Schools</t>
  </si>
  <si>
    <t>520LEA</t>
  </si>
  <si>
    <t>Comfort Elementary</t>
  </si>
  <si>
    <t>520308</t>
  </si>
  <si>
    <t>Jones Senior High School</t>
  </si>
  <si>
    <t>520344</t>
  </si>
  <si>
    <t>Maysville Elementary</t>
  </si>
  <si>
    <t>520328</t>
  </si>
  <si>
    <t>Pollocksville Elementary</t>
  </si>
  <si>
    <t>520304</t>
  </si>
  <si>
    <t>Trenton Elementary</t>
  </si>
  <si>
    <t>520336</t>
  </si>
  <si>
    <t>Kannapolis City Schools</t>
  </si>
  <si>
    <t>132LEA</t>
  </si>
  <si>
    <t>A L Brown High</t>
  </si>
  <si>
    <t>132304</t>
  </si>
  <si>
    <t>Forest Park Elementary</t>
  </si>
  <si>
    <t>132308</t>
  </si>
  <si>
    <t>Fred L Wilson Elementary</t>
  </si>
  <si>
    <t>132312</t>
  </si>
  <si>
    <t>GW Carver Elementary</t>
  </si>
  <si>
    <t>132314</t>
  </si>
  <si>
    <t>Jackson Park Elementary</t>
  </si>
  <si>
    <t>132328</t>
  </si>
  <si>
    <t>Kannapolis Middle School 6</t>
  </si>
  <si>
    <t>132303</t>
  </si>
  <si>
    <t>Kannapolis Middle School 7/8</t>
  </si>
  <si>
    <t>132330</t>
  </si>
  <si>
    <t>North Kannapolis Elementary</t>
  </si>
  <si>
    <t>132336</t>
  </si>
  <si>
    <t>Shady Brook Elementary</t>
  </si>
  <si>
    <t>132332</t>
  </si>
  <si>
    <t>Kestrel Heights School</t>
  </si>
  <si>
    <t>32D000</t>
  </si>
  <si>
    <t>KIPP Charlotte</t>
  </si>
  <si>
    <t>60L000</t>
  </si>
  <si>
    <t>KIPP Durham College Preparatory</t>
  </si>
  <si>
    <t>32S000</t>
  </si>
  <si>
    <t>KIPP Pride College Preparatory</t>
  </si>
  <si>
    <t>66A000</t>
  </si>
  <si>
    <t>Lake Lure Classical Academy</t>
  </si>
  <si>
    <t>81B000</t>
  </si>
  <si>
    <t>Lake Norman Charter</t>
  </si>
  <si>
    <t>60D000</t>
  </si>
  <si>
    <t>Lakeside Charter Academy</t>
  </si>
  <si>
    <t>61J000</t>
  </si>
  <si>
    <t>Langtree Charter Academy</t>
  </si>
  <si>
    <t>49F000</t>
  </si>
  <si>
    <t>Lee County Schools</t>
  </si>
  <si>
    <t>530LEA</t>
  </si>
  <si>
    <t>Bragg Street Academy</t>
  </si>
  <si>
    <t>530306</t>
  </si>
  <si>
    <t>Broadway Elementary</t>
  </si>
  <si>
    <t>530308</t>
  </si>
  <si>
    <t>BT Bullock Elementary</t>
  </si>
  <si>
    <t>530302</t>
  </si>
  <si>
    <t>Deep River Elementary</t>
  </si>
  <si>
    <t>530312</t>
  </si>
  <si>
    <t>East Lee Middle</t>
  </si>
  <si>
    <t>530314</t>
  </si>
  <si>
    <t>Floyd L Knight Children Center</t>
  </si>
  <si>
    <t>530316</t>
  </si>
  <si>
    <t>Greenwood Elementary</t>
  </si>
  <si>
    <t>530320</t>
  </si>
  <si>
    <t>J Glenn Edwards Elementary</t>
  </si>
  <si>
    <t>530340</t>
  </si>
  <si>
    <t>J R Ingram Jr Elementary</t>
  </si>
  <si>
    <t>530354</t>
  </si>
  <si>
    <t>Lee County High</t>
  </si>
  <si>
    <t>530336</t>
  </si>
  <si>
    <t>Lee Early College</t>
  </si>
  <si>
    <t>530335</t>
  </si>
  <si>
    <t>SanLee Middle School</t>
  </si>
  <si>
    <t>530341</t>
  </si>
  <si>
    <t>Southern Lee High School</t>
  </si>
  <si>
    <t>530343</t>
  </si>
  <si>
    <t>Tramway Elementary</t>
  </si>
  <si>
    <t>530346</t>
  </si>
  <si>
    <t>WB Wicker Elementary</t>
  </si>
  <si>
    <t>530360</t>
  </si>
  <si>
    <t>West Lee Middle</t>
  </si>
  <si>
    <t>530356</t>
  </si>
  <si>
    <t>Legacy Classical Academy</t>
  </si>
  <si>
    <t>79C000</t>
  </si>
  <si>
    <t>Lenoir County Public Schools</t>
  </si>
  <si>
    <t>540LEA</t>
  </si>
  <si>
    <t>Banks Elementary</t>
  </si>
  <si>
    <t>540304</t>
  </si>
  <si>
    <t>Contentnea-Savannah School</t>
  </si>
  <si>
    <t>540308</t>
  </si>
  <si>
    <t>E B Frink Middle</t>
  </si>
  <si>
    <t>540312</t>
  </si>
  <si>
    <t>Kinston High</t>
  </si>
  <si>
    <t>540315</t>
  </si>
  <si>
    <t>La Grange Elementary</t>
  </si>
  <si>
    <t>540316</t>
  </si>
  <si>
    <t>Lenoir County Early College High</t>
  </si>
  <si>
    <t>540317</t>
  </si>
  <si>
    <t>Lenoir County Learning Academy</t>
  </si>
  <si>
    <t>540318</t>
  </si>
  <si>
    <t>Moss Hill Elementary</t>
  </si>
  <si>
    <t>540320</t>
  </si>
  <si>
    <t>North Lenoir High</t>
  </si>
  <si>
    <t>540324</t>
  </si>
  <si>
    <t>540325</t>
  </si>
  <si>
    <t>540326</t>
  </si>
  <si>
    <t>Pink Hill Elementary</t>
  </si>
  <si>
    <t>540328</t>
  </si>
  <si>
    <t>Rochelle Middle</t>
  </si>
  <si>
    <t>540330</t>
  </si>
  <si>
    <t>South Lenoir High</t>
  </si>
  <si>
    <t>540336</t>
  </si>
  <si>
    <t>Southeast Elementary</t>
  </si>
  <si>
    <t>540338</t>
  </si>
  <si>
    <t>540340</t>
  </si>
  <si>
    <t>Woodington Middle</t>
  </si>
  <si>
    <t>540344</t>
  </si>
  <si>
    <t>Lexington City Schools</t>
  </si>
  <si>
    <t>291LEA</t>
  </si>
  <si>
    <t>Charles England Elementary School</t>
  </si>
  <si>
    <t>291308</t>
  </si>
  <si>
    <t>Lexington Middle School</t>
  </si>
  <si>
    <t>291332</t>
  </si>
  <si>
    <t>Lexington Senior High School</t>
  </si>
  <si>
    <t>291336</t>
  </si>
  <si>
    <t>Pickett Elementary School</t>
  </si>
  <si>
    <t>291340</t>
  </si>
  <si>
    <t>South Lexington Developmental Center</t>
  </si>
  <si>
    <t>291350</t>
  </si>
  <si>
    <t>South Lexington School</t>
  </si>
  <si>
    <t>291348</t>
  </si>
  <si>
    <t>Southwest Elementary Global Academy</t>
  </si>
  <si>
    <t>291352</t>
  </si>
  <si>
    <t>Liberty Charter Academy</t>
  </si>
  <si>
    <t>41P000</t>
  </si>
  <si>
    <t>Lincoln Charter School</t>
  </si>
  <si>
    <t>55A000</t>
  </si>
  <si>
    <t>Lincoln County Schools</t>
  </si>
  <si>
    <t>550LEA</t>
  </si>
  <si>
    <t>Asbury Academy</t>
  </si>
  <si>
    <t>550308</t>
  </si>
  <si>
    <t>Battleground Elementary</t>
  </si>
  <si>
    <t>550312</t>
  </si>
  <si>
    <t>Catawba Springs Elementary</t>
  </si>
  <si>
    <t>550314</t>
  </si>
  <si>
    <t>Childers Elementary</t>
  </si>
  <si>
    <t>550340</t>
  </si>
  <si>
    <t>East Lincoln High</t>
  </si>
  <si>
    <t>550320</t>
  </si>
  <si>
    <t>East Lincoln Middle</t>
  </si>
  <si>
    <t>550322</t>
  </si>
  <si>
    <t>GE Massey Elementary</t>
  </si>
  <si>
    <t>550316</t>
  </si>
  <si>
    <t>Iron Station Elementary</t>
  </si>
  <si>
    <t>550328</t>
  </si>
  <si>
    <t>Lincolnton High</t>
  </si>
  <si>
    <t>550332</t>
  </si>
  <si>
    <t>Lincolnton Middle</t>
  </si>
  <si>
    <t>550334</t>
  </si>
  <si>
    <t>Love Memorial Elementary</t>
  </si>
  <si>
    <t>550336</t>
  </si>
  <si>
    <t>North Brook Elementary</t>
  </si>
  <si>
    <t>550342</t>
  </si>
  <si>
    <t>North Lincoln High</t>
  </si>
  <si>
    <t>550344</t>
  </si>
  <si>
    <t>North Lincoln Middle</t>
  </si>
  <si>
    <t>550350</t>
  </si>
  <si>
    <t>Pumpkin Center Intermediate</t>
  </si>
  <si>
    <t>550349</t>
  </si>
  <si>
    <t>Pumpkin Center Primary</t>
  </si>
  <si>
    <t>550348</t>
  </si>
  <si>
    <t>Rock Springs Elementary</t>
  </si>
  <si>
    <t>550356</t>
  </si>
  <si>
    <t>S Ray Lowder Elementary</t>
  </si>
  <si>
    <t>550360</t>
  </si>
  <si>
    <t>St James Elementary</t>
  </si>
  <si>
    <t>550362</t>
  </si>
  <si>
    <t>550364</t>
  </si>
  <si>
    <t>West Lincoln High</t>
  </si>
  <si>
    <t>550368</t>
  </si>
  <si>
    <t>West Lincoln Middle</t>
  </si>
  <si>
    <t>550372</t>
  </si>
  <si>
    <t>Longleaf School of the Arts</t>
  </si>
  <si>
    <t>92U000</t>
  </si>
  <si>
    <t>Macon County Schools</t>
  </si>
  <si>
    <t>560LEA</t>
  </si>
  <si>
    <t>Bartram Academy</t>
  </si>
  <si>
    <t>560350</t>
  </si>
  <si>
    <t>Cartoogechaye Elementary</t>
  </si>
  <si>
    <t>560304</t>
  </si>
  <si>
    <t>East Franklin Elementary</t>
  </si>
  <si>
    <t>560316</t>
  </si>
  <si>
    <t>Franklin High</t>
  </si>
  <si>
    <t>560320</t>
  </si>
  <si>
    <t>Highlands School</t>
  </si>
  <si>
    <t>560324</t>
  </si>
  <si>
    <t>Iotla Valley Elementary</t>
  </si>
  <si>
    <t>560328</t>
  </si>
  <si>
    <t>Macon Early College High School</t>
  </si>
  <si>
    <t>560329</t>
  </si>
  <si>
    <t>Macon Middle School</t>
  </si>
  <si>
    <t>560330</t>
  </si>
  <si>
    <t>Macon Virtual Academy</t>
  </si>
  <si>
    <t>560340</t>
  </si>
  <si>
    <t>Mountain View Intermediate</t>
  </si>
  <si>
    <t>560331</t>
  </si>
  <si>
    <t>Nantahala School</t>
  </si>
  <si>
    <t>560332</t>
  </si>
  <si>
    <t>South Macon Elementary</t>
  </si>
  <si>
    <t>560338</t>
  </si>
  <si>
    <t>Madison County Schools</t>
  </si>
  <si>
    <t>570LEA</t>
  </si>
  <si>
    <t>Brush Creek Elementary</t>
  </si>
  <si>
    <t>570306</t>
  </si>
  <si>
    <t>Hot Springs Elementary</t>
  </si>
  <si>
    <t>570312</t>
  </si>
  <si>
    <t>Madison Early College High</t>
  </si>
  <si>
    <t>570317</t>
  </si>
  <si>
    <t>Madison High School</t>
  </si>
  <si>
    <t>570318</t>
  </si>
  <si>
    <t>Madison Middle School</t>
  </si>
  <si>
    <t>570319</t>
  </si>
  <si>
    <t>Madison Velocity Learning Center</t>
  </si>
  <si>
    <t>570321</t>
  </si>
  <si>
    <t>Mars Hill Elementary</t>
  </si>
  <si>
    <t>570320</t>
  </si>
  <si>
    <t>Magellan Charter</t>
  </si>
  <si>
    <t>92D000</t>
  </si>
  <si>
    <t>&lt;5</t>
  </si>
  <si>
    <t>Mallard Creek STEM Academy</t>
  </si>
  <si>
    <t>61Q000</t>
  </si>
  <si>
    <t>Marjorie Williams Academy</t>
  </si>
  <si>
    <t>06B000</t>
  </si>
  <si>
    <t>Martin County Schools</t>
  </si>
  <si>
    <t>580LEA</t>
  </si>
  <si>
    <t>E J Hayes Elementary</t>
  </si>
  <si>
    <t>580312</t>
  </si>
  <si>
    <t>Jamesville Elementary</t>
  </si>
  <si>
    <t>580324</t>
  </si>
  <si>
    <t>Martin County High</t>
  </si>
  <si>
    <t>580385</t>
  </si>
  <si>
    <t>Martin Innovative Early College High</t>
  </si>
  <si>
    <t>580349</t>
  </si>
  <si>
    <t>Riverside Middle</t>
  </si>
  <si>
    <t>580372</t>
  </si>
  <si>
    <t>Rodgers Elementary</t>
  </si>
  <si>
    <t>580356</t>
  </si>
  <si>
    <t>South Creek Elementary</t>
  </si>
  <si>
    <t>580316</t>
  </si>
  <si>
    <t>South Creek Middle</t>
  </si>
  <si>
    <t>580337</t>
  </si>
  <si>
    <t>Williamston Primary</t>
  </si>
  <si>
    <t>580308</t>
  </si>
  <si>
    <t>Matthews Charter Academy</t>
  </si>
  <si>
    <t>61R000</t>
  </si>
  <si>
    <t>Maureen Joy Charter School</t>
  </si>
  <si>
    <t>32A000</t>
  </si>
  <si>
    <t>McDowell County Schools</t>
  </si>
  <si>
    <t>590LEA</t>
  </si>
  <si>
    <t>East McDowell Middle School</t>
  </si>
  <si>
    <t>590310</t>
  </si>
  <si>
    <t>Eastfield Global Magnet School</t>
  </si>
  <si>
    <t>590306</t>
  </si>
  <si>
    <t>Foothills Community School</t>
  </si>
  <si>
    <t>590393</t>
  </si>
  <si>
    <t>Glenwood Elementary School</t>
  </si>
  <si>
    <t>590316</t>
  </si>
  <si>
    <t>Marion Elementary School</t>
  </si>
  <si>
    <t>590320</t>
  </si>
  <si>
    <t>McDowell Academy for Innovation</t>
  </si>
  <si>
    <t>590326</t>
  </si>
  <si>
    <t>McDowell Early College</t>
  </si>
  <si>
    <t>590328</t>
  </si>
  <si>
    <t>McDowell High School</t>
  </si>
  <si>
    <t>590330</t>
  </si>
  <si>
    <t>Nebo Elementary School</t>
  </si>
  <si>
    <t>590332</t>
  </si>
  <si>
    <t>North Cove Elementary School</t>
  </si>
  <si>
    <t>590336</t>
  </si>
  <si>
    <t>Old Fort Elementary School</t>
  </si>
  <si>
    <t>590340</t>
  </si>
  <si>
    <t>Pleasant Gardens Elementary School</t>
  </si>
  <si>
    <t>590344</t>
  </si>
  <si>
    <t>The Summit Academy</t>
  </si>
  <si>
    <t>590325</t>
  </si>
  <si>
    <t>West Marion Elementary School</t>
  </si>
  <si>
    <t>590352</t>
  </si>
  <si>
    <t>West McDowell Middle School</t>
  </si>
  <si>
    <t>590356</t>
  </si>
  <si>
    <t>Metrolina Reg Scholars Academy</t>
  </si>
  <si>
    <t>60F000</t>
  </si>
  <si>
    <t>Millennium Charter Academy</t>
  </si>
  <si>
    <t>86T000</t>
  </si>
  <si>
    <t>Mitchell County Schools</t>
  </si>
  <si>
    <t>610LEA</t>
  </si>
  <si>
    <t>Gouge Primary</t>
  </si>
  <si>
    <t>610320</t>
  </si>
  <si>
    <t>Greenlee Primary</t>
  </si>
  <si>
    <t>610322</t>
  </si>
  <si>
    <t>Mayland Early College</t>
  </si>
  <si>
    <t>610332</t>
  </si>
  <si>
    <t>Mitchell Elementary School</t>
  </si>
  <si>
    <t>610333</t>
  </si>
  <si>
    <t>Mitchell High</t>
  </si>
  <si>
    <t>610334</t>
  </si>
  <si>
    <t>Mitchell Middle School</t>
  </si>
  <si>
    <t>610335</t>
  </si>
  <si>
    <t>Montgomery County Schools</t>
  </si>
  <si>
    <t>620LEA</t>
  </si>
  <si>
    <t>Candor Elementary</t>
  </si>
  <si>
    <t>620312</t>
  </si>
  <si>
    <t>East Middle</t>
  </si>
  <si>
    <t>620314</t>
  </si>
  <si>
    <t>Green Ridge Elementary</t>
  </si>
  <si>
    <t>620318</t>
  </si>
  <si>
    <t>Montgomery Central High</t>
  </si>
  <si>
    <t>620356</t>
  </si>
  <si>
    <t>Montgomery County Early College</t>
  </si>
  <si>
    <t>620350</t>
  </si>
  <si>
    <t>Montgomery Learning Academy</t>
  </si>
  <si>
    <t>620310</t>
  </si>
  <si>
    <t>Mount Gilead Elementary</t>
  </si>
  <si>
    <t>620324</t>
  </si>
  <si>
    <t>Page Street Elementary</t>
  </si>
  <si>
    <t>620330</t>
  </si>
  <si>
    <t>Star Elementary</t>
  </si>
  <si>
    <t>620334</t>
  </si>
  <si>
    <t>Troy Elementary</t>
  </si>
  <si>
    <t>620336</t>
  </si>
  <si>
    <t>West Middle</t>
  </si>
  <si>
    <t>620339</t>
  </si>
  <si>
    <t>Moore County Schools</t>
  </si>
  <si>
    <t>630LEA</t>
  </si>
  <si>
    <t>Aberdeen Elementary</t>
  </si>
  <si>
    <t>630308</t>
  </si>
  <si>
    <t>Cameron Elementary</t>
  </si>
  <si>
    <t>630312</t>
  </si>
  <si>
    <t>Carthage Elementary</t>
  </si>
  <si>
    <t>630316</t>
  </si>
  <si>
    <t>Connect Academy</t>
  </si>
  <si>
    <t>630399</t>
  </si>
  <si>
    <t>Crain's Creek Middle</t>
  </si>
  <si>
    <t>630317</t>
  </si>
  <si>
    <t>Elise Middle</t>
  </si>
  <si>
    <t>630320</t>
  </si>
  <si>
    <t>Highfalls Elementary</t>
  </si>
  <si>
    <t>630328</t>
  </si>
  <si>
    <t>McDeeds Creek Elementary</t>
  </si>
  <si>
    <t>630329</t>
  </si>
  <si>
    <t>Moore Innovative High School</t>
  </si>
  <si>
    <t>630395</t>
  </si>
  <si>
    <t>New Century Middle</t>
  </si>
  <si>
    <t>630331</t>
  </si>
  <si>
    <t>North Moore High</t>
  </si>
  <si>
    <t>630332</t>
  </si>
  <si>
    <t>Pinecrest High</t>
  </si>
  <si>
    <t>630336</t>
  </si>
  <si>
    <t>Pinehurst Elementary</t>
  </si>
  <si>
    <t>630342</t>
  </si>
  <si>
    <t>Robbins Elementary</t>
  </si>
  <si>
    <t>630348</t>
  </si>
  <si>
    <t>Sandhills Farm Life Elementary</t>
  </si>
  <si>
    <t>630324</t>
  </si>
  <si>
    <t>Southern Middle</t>
  </si>
  <si>
    <t>630350</t>
  </si>
  <si>
    <t>Southern Pines Elementary</t>
  </si>
  <si>
    <t>630356</t>
  </si>
  <si>
    <t>The Community Learning Center @ Pinckney</t>
  </si>
  <si>
    <t>630330</t>
  </si>
  <si>
    <t>Union Pines High</t>
  </si>
  <si>
    <t>630360</t>
  </si>
  <si>
    <t>Vass-Lakeview Elementary</t>
  </si>
  <si>
    <t>630364</t>
  </si>
  <si>
    <t>West End Elementary</t>
  </si>
  <si>
    <t>630368</t>
  </si>
  <si>
    <t>West Pine Elementary</t>
  </si>
  <si>
    <t>630373</t>
  </si>
  <si>
    <t>West Pine Middle</t>
  </si>
  <si>
    <t>630374</t>
  </si>
  <si>
    <t>Westmoore Elementary</t>
  </si>
  <si>
    <t>630376</t>
  </si>
  <si>
    <t>Moore Montessori Community School</t>
  </si>
  <si>
    <t>63C000</t>
  </si>
  <si>
    <t>Mooresville Graded School District</t>
  </si>
  <si>
    <t>491LEA</t>
  </si>
  <si>
    <t>East Mooresville Intermediate</t>
  </si>
  <si>
    <t>491303</t>
  </si>
  <si>
    <t>Mooresville High School</t>
  </si>
  <si>
    <t>491312</t>
  </si>
  <si>
    <t>Mooresville Intermediate</t>
  </si>
  <si>
    <t>491306</t>
  </si>
  <si>
    <t>Mooresville Middle</t>
  </si>
  <si>
    <t>491308</t>
  </si>
  <si>
    <t>Park View Elementary</t>
  </si>
  <si>
    <t>491316</t>
  </si>
  <si>
    <t>491318</t>
  </si>
  <si>
    <t>Selma Burke Middle</t>
  </si>
  <si>
    <t>491319</t>
  </si>
  <si>
    <t>491320</t>
  </si>
  <si>
    <t>Mount Airy City Schools</t>
  </si>
  <si>
    <t>862LEA</t>
  </si>
  <si>
    <t>Bruce H. Tharrington Primary</t>
  </si>
  <si>
    <t>862308</t>
  </si>
  <si>
    <t>Jones Intermediate</t>
  </si>
  <si>
    <t>862310</t>
  </si>
  <si>
    <t>Mount Airy High</t>
  </si>
  <si>
    <t>862312</t>
  </si>
  <si>
    <t>Mount Airy Middle</t>
  </si>
  <si>
    <t>862316</t>
  </si>
  <si>
    <t>Mountain City Public Montessori</t>
  </si>
  <si>
    <t>11L000</t>
  </si>
  <si>
    <t>Mountain Discovery</t>
  </si>
  <si>
    <t>87A000</t>
  </si>
  <si>
    <t>Mountain Island Charter School</t>
  </si>
  <si>
    <t>36C000</t>
  </si>
  <si>
    <t>Movement Charter School</t>
  </si>
  <si>
    <t>61T000</t>
  </si>
  <si>
    <t>Movement School Eastland</t>
  </si>
  <si>
    <t>62K000</t>
  </si>
  <si>
    <t>Movement School Northwest</t>
  </si>
  <si>
    <t>62R000</t>
  </si>
  <si>
    <t>Movement School Southwest</t>
  </si>
  <si>
    <t>62P000</t>
  </si>
  <si>
    <t>Nash County Public Schools</t>
  </si>
  <si>
    <t>640LEA</t>
  </si>
  <si>
    <t>Bailey Elementary</t>
  </si>
  <si>
    <t>640304</t>
  </si>
  <si>
    <t>Benvenue Elementary</t>
  </si>
  <si>
    <t>640308</t>
  </si>
  <si>
    <t>CITI High School</t>
  </si>
  <si>
    <t>640342</t>
  </si>
  <si>
    <t>Coopers Elementary</t>
  </si>
  <si>
    <t>640324</t>
  </si>
  <si>
    <t>Englewood Elementary</t>
  </si>
  <si>
    <t>640328</t>
  </si>
  <si>
    <t>G R Edwards Elementary</t>
  </si>
  <si>
    <t>640329</t>
  </si>
  <si>
    <t>M B Hubbard Elementary</t>
  </si>
  <si>
    <t>640332</t>
  </si>
  <si>
    <t>Middlesex Elementary</t>
  </si>
  <si>
    <t>640336</t>
  </si>
  <si>
    <t>Nash Central High</t>
  </si>
  <si>
    <t>640346</t>
  </si>
  <si>
    <t>Nash Central Middle</t>
  </si>
  <si>
    <t>640320</t>
  </si>
  <si>
    <t>Nash Early College High School</t>
  </si>
  <si>
    <t>640347</t>
  </si>
  <si>
    <t>Nash Everywhere Digital Academy (NEDA)</t>
  </si>
  <si>
    <t>640341</t>
  </si>
  <si>
    <t>Nashville Elementary</t>
  </si>
  <si>
    <t>640348</t>
  </si>
  <si>
    <t>Northern Nash High</t>
  </si>
  <si>
    <t>640350</t>
  </si>
  <si>
    <t>Red Oak Elementary</t>
  </si>
  <si>
    <t>640360</t>
  </si>
  <si>
    <t>Red Oak Middle</t>
  </si>
  <si>
    <t>640358</t>
  </si>
  <si>
    <t>Rocky Mount High</t>
  </si>
  <si>
    <t>640361</t>
  </si>
  <si>
    <t>Rocky Mount Middle</t>
  </si>
  <si>
    <t>640335</t>
  </si>
  <si>
    <t>Southern Nash High</t>
  </si>
  <si>
    <t>640364</t>
  </si>
  <si>
    <t>Southern Nash Middle</t>
  </si>
  <si>
    <t>640362</t>
  </si>
  <si>
    <t>Spring Hope Elementary</t>
  </si>
  <si>
    <t>640376</t>
  </si>
  <si>
    <t>Tar River Academy</t>
  </si>
  <si>
    <t>640340</t>
  </si>
  <si>
    <t>Winstead Avenue Elementary</t>
  </si>
  <si>
    <t>640400</t>
  </si>
  <si>
    <t>NC Leadership Charter Academy</t>
  </si>
  <si>
    <t>34H000</t>
  </si>
  <si>
    <t>NC School for the Deaf</t>
  </si>
  <si>
    <t>297300</t>
  </si>
  <si>
    <t>NC Virtual Academy</t>
  </si>
  <si>
    <t>00B000</t>
  </si>
  <si>
    <t>NE Academy for Aerospace &amp; AdvTech</t>
  </si>
  <si>
    <t>70A000</t>
  </si>
  <si>
    <t>NERSBA Early College</t>
  </si>
  <si>
    <t>94Z000</t>
  </si>
  <si>
    <t>Neuse Charter School</t>
  </si>
  <si>
    <t>51A000</t>
  </si>
  <si>
    <t>New Dimensions</t>
  </si>
  <si>
    <t>12A000</t>
  </si>
  <si>
    <t>New Hanover County Schools</t>
  </si>
  <si>
    <t>650LEA</t>
  </si>
  <si>
    <t>A H Snipes Academy of Arts/Des</t>
  </si>
  <si>
    <t>650384</t>
  </si>
  <si>
    <t>Bradley Creek Elementary</t>
  </si>
  <si>
    <t>650304</t>
  </si>
  <si>
    <t>Career Readiness Academy at Mosley PLC</t>
  </si>
  <si>
    <t>650355</t>
  </si>
  <si>
    <t>Carolina Beach Elementary</t>
  </si>
  <si>
    <t>650308</t>
  </si>
  <si>
    <t>Castle Hayne Elementary</t>
  </si>
  <si>
    <t>650309</t>
  </si>
  <si>
    <t>Charles P Murray Middle</t>
  </si>
  <si>
    <t>650310</t>
  </si>
  <si>
    <t>College Park Elementary</t>
  </si>
  <si>
    <t>650316</t>
  </si>
  <si>
    <t>Dr Hubert Eaton Sr Elem</t>
  </si>
  <si>
    <t>650353</t>
  </si>
  <si>
    <t>Dr John Codington Elem</t>
  </si>
  <si>
    <t>650366</t>
  </si>
  <si>
    <t>650324</t>
  </si>
  <si>
    <t>Edwin A Anderson Elementary</t>
  </si>
  <si>
    <t>650323</t>
  </si>
  <si>
    <t>Emma B Trask Middle</t>
  </si>
  <si>
    <t>650325</t>
  </si>
  <si>
    <t>Emsley A Laney High</t>
  </si>
  <si>
    <t>650326</t>
  </si>
  <si>
    <t>Eugene Ashley High</t>
  </si>
  <si>
    <t>650327</t>
  </si>
  <si>
    <t>Forest Hills Global Elementary</t>
  </si>
  <si>
    <t>650328</t>
  </si>
  <si>
    <t>Heyward C Bellamy Elem</t>
  </si>
  <si>
    <t>650338</t>
  </si>
  <si>
    <t>Holly Shelter Middle</t>
  </si>
  <si>
    <t>650343</t>
  </si>
  <si>
    <t>Holly Tree Elementary</t>
  </si>
  <si>
    <t>650339</t>
  </si>
  <si>
    <t>Isaac M Bear Early College High School</t>
  </si>
  <si>
    <t>650340</t>
  </si>
  <si>
    <t>J. C. Roe Academy</t>
  </si>
  <si>
    <t>650354</t>
  </si>
  <si>
    <t>John J Blair Elementary</t>
  </si>
  <si>
    <t>650341</t>
  </si>
  <si>
    <t>John T Hoggard High</t>
  </si>
  <si>
    <t>650342</t>
  </si>
  <si>
    <t>Lake Forest Academy</t>
  </si>
  <si>
    <t>650345</t>
  </si>
  <si>
    <t>M C S Noble Middle</t>
  </si>
  <si>
    <t>650350</t>
  </si>
  <si>
    <t>Mary C Williams Elementary</t>
  </si>
  <si>
    <t>650346</t>
  </si>
  <si>
    <t>Masonboro Elementary</t>
  </si>
  <si>
    <t>650380</t>
  </si>
  <si>
    <t>Murrayville Elementary</t>
  </si>
  <si>
    <t>650348</t>
  </si>
  <si>
    <t>Myrtle Grove Middle</t>
  </si>
  <si>
    <t>650351</t>
  </si>
  <si>
    <t>New Hanover High</t>
  </si>
  <si>
    <t>650352</t>
  </si>
  <si>
    <t>Ogden Elementary</t>
  </si>
  <si>
    <t>650356</t>
  </si>
  <si>
    <t>Pine Valley Elementary</t>
  </si>
  <si>
    <t>650362</t>
  </si>
  <si>
    <t>Porters Neck Elementary</t>
  </si>
  <si>
    <t>650330</t>
  </si>
  <si>
    <t>R Freeman Sch of Engineering</t>
  </si>
  <si>
    <t>650312</t>
  </si>
  <si>
    <t>Roland-Grise Middle</t>
  </si>
  <si>
    <t>650364</t>
  </si>
  <si>
    <t>SEA-Tech</t>
  </si>
  <si>
    <t>650395</t>
  </si>
  <si>
    <t>Sunset Park Elementary</t>
  </si>
  <si>
    <t>650368</t>
  </si>
  <si>
    <t>The International School at Gregory</t>
  </si>
  <si>
    <t>650332</t>
  </si>
  <si>
    <t>Williston Middle</t>
  </si>
  <si>
    <t>650392</t>
  </si>
  <si>
    <t>Wilmington Early College High</t>
  </si>
  <si>
    <t>650394</t>
  </si>
  <si>
    <t>Winter Park Model Elementary</t>
  </si>
  <si>
    <t>650400</t>
  </si>
  <si>
    <t>Wrightsboro Elementary</t>
  </si>
  <si>
    <t>650404</t>
  </si>
  <si>
    <t>Wrightsville Beach Elem</t>
  </si>
  <si>
    <t>650408</t>
  </si>
  <si>
    <t>Newton Conover City Schools</t>
  </si>
  <si>
    <t>182LEA</t>
  </si>
  <si>
    <t>Conover Special Education</t>
  </si>
  <si>
    <t>182304</t>
  </si>
  <si>
    <t>Discovery High School</t>
  </si>
  <si>
    <t>182700</t>
  </si>
  <si>
    <t>Newton-Conover High</t>
  </si>
  <si>
    <t>182316</t>
  </si>
  <si>
    <t>Newton-Conover Middle</t>
  </si>
  <si>
    <t>182321</t>
  </si>
  <si>
    <t>North Newton Elementary</t>
  </si>
  <si>
    <t>182328</t>
  </si>
  <si>
    <t>Shuford Elementary</t>
  </si>
  <si>
    <t>182322</t>
  </si>
  <si>
    <t>South Newton Elementary</t>
  </si>
  <si>
    <t>182324</t>
  </si>
  <si>
    <t>Next Generation Academy</t>
  </si>
  <si>
    <t>41M000</t>
  </si>
  <si>
    <t>North Carolina Cyber Academy</t>
  </si>
  <si>
    <t>00A000</t>
  </si>
  <si>
    <t>North East Carolina Prep</t>
  </si>
  <si>
    <t>NE Carolina Prep School Remote Academy</t>
  </si>
  <si>
    <t>33A310</t>
  </si>
  <si>
    <t>33A000</t>
  </si>
  <si>
    <t>North Oak Academy</t>
  </si>
  <si>
    <t>32U000</t>
  </si>
  <si>
    <t>Northampton County Schools</t>
  </si>
  <si>
    <t>660LEA</t>
  </si>
  <si>
    <t>660306</t>
  </si>
  <si>
    <t>Conway Middle</t>
  </si>
  <si>
    <t>660308</t>
  </si>
  <si>
    <t>Gaston STEM Leadership Academy</t>
  </si>
  <si>
    <t>660320</t>
  </si>
  <si>
    <t>Northampton County High School</t>
  </si>
  <si>
    <t>660336</t>
  </si>
  <si>
    <t>Northampton Early College</t>
  </si>
  <si>
    <t>660400</t>
  </si>
  <si>
    <t>Northampton Virtual Academy</t>
  </si>
  <si>
    <t>660450</t>
  </si>
  <si>
    <t>Oak Hill Charter School</t>
  </si>
  <si>
    <t>14B000</t>
  </si>
  <si>
    <t>Old Main STREAM Academy</t>
  </si>
  <si>
    <t>78C000</t>
  </si>
  <si>
    <t>Onslow County Schools</t>
  </si>
  <si>
    <t>670LEA</t>
  </si>
  <si>
    <t>Bell Fork Elementary</t>
  </si>
  <si>
    <t>670304</t>
  </si>
  <si>
    <t>Blue Creek Elementary</t>
  </si>
  <si>
    <t>670308</t>
  </si>
  <si>
    <t>Carolina Forest Elementary</t>
  </si>
  <si>
    <t>670310</t>
  </si>
  <si>
    <t>Clear View Elementary</t>
  </si>
  <si>
    <t>670311</t>
  </si>
  <si>
    <t>Clyde Erwin Elementary</t>
  </si>
  <si>
    <t>670312</t>
  </si>
  <si>
    <t>Coastal Elementary</t>
  </si>
  <si>
    <t>670313</t>
  </si>
  <si>
    <t>Dixon Elementary</t>
  </si>
  <si>
    <t>670314</t>
  </si>
  <si>
    <t>Dixon High</t>
  </si>
  <si>
    <t>670320</t>
  </si>
  <si>
    <t>Dixon Middle</t>
  </si>
  <si>
    <t>670318</t>
  </si>
  <si>
    <t>Heritage Elementary School</t>
  </si>
  <si>
    <t>670337</t>
  </si>
  <si>
    <t>Hunters Creek Elementary</t>
  </si>
  <si>
    <t>670321</t>
  </si>
  <si>
    <t>Hunters Creek Middle</t>
  </si>
  <si>
    <t>670322</t>
  </si>
  <si>
    <t>Jacksonville Commons Elem</t>
  </si>
  <si>
    <t>670323</t>
  </si>
  <si>
    <t>Jacksonville Commons Middle</t>
  </si>
  <si>
    <t>670325</t>
  </si>
  <si>
    <t>Jacksonville High</t>
  </si>
  <si>
    <t>670324</t>
  </si>
  <si>
    <t>Meadow View Elementary</t>
  </si>
  <si>
    <t>670329</t>
  </si>
  <si>
    <t>Morton Elementary</t>
  </si>
  <si>
    <t>670330</t>
  </si>
  <si>
    <t>New Bridge Middle</t>
  </si>
  <si>
    <t>670331</t>
  </si>
  <si>
    <t>670333</t>
  </si>
  <si>
    <t>Northwoods Elementary</t>
  </si>
  <si>
    <t>670332</t>
  </si>
  <si>
    <t>Northwoods Park Middle</t>
  </si>
  <si>
    <t>670336</t>
  </si>
  <si>
    <t>Onslow Early College</t>
  </si>
  <si>
    <t>670300</t>
  </si>
  <si>
    <t>Onslow Virtual School</t>
  </si>
  <si>
    <t>670379</t>
  </si>
  <si>
    <t>670338</t>
  </si>
  <si>
    <t>Queens Creek Elementary</t>
  </si>
  <si>
    <t>670335</t>
  </si>
  <si>
    <t>Richlands Elementary</t>
  </si>
  <si>
    <t>670339</t>
  </si>
  <si>
    <t>Richlands High</t>
  </si>
  <si>
    <t>670340</t>
  </si>
  <si>
    <t>Sand Ridge Elementary</t>
  </si>
  <si>
    <t>670341</t>
  </si>
  <si>
    <t>Silverdale Elementary</t>
  </si>
  <si>
    <t>670342</t>
  </si>
  <si>
    <t>670343</t>
  </si>
  <si>
    <t>Southwest High</t>
  </si>
  <si>
    <t>670344</t>
  </si>
  <si>
    <t>670345</t>
  </si>
  <si>
    <t>Stateside Elementary</t>
  </si>
  <si>
    <t>670347</t>
  </si>
  <si>
    <t>Summersill Elementary</t>
  </si>
  <si>
    <t>670346</t>
  </si>
  <si>
    <t>Swansboro Elementary</t>
  </si>
  <si>
    <t>670350</t>
  </si>
  <si>
    <t>Swansboro High</t>
  </si>
  <si>
    <t>670352</t>
  </si>
  <si>
    <t>Swansboro Middle</t>
  </si>
  <si>
    <t>670351</t>
  </si>
  <si>
    <t>Trexler Middle</t>
  </si>
  <si>
    <t>670356</t>
  </si>
  <si>
    <t>White Oak High</t>
  </si>
  <si>
    <t>670364</t>
  </si>
  <si>
    <t>Woodland Elementary School</t>
  </si>
  <si>
    <t>670367</t>
  </si>
  <si>
    <t>Orange County Schools</t>
  </si>
  <si>
    <t>680LEA</t>
  </si>
  <si>
    <t>A L Stanback Middle</t>
  </si>
  <si>
    <t>680304</t>
  </si>
  <si>
    <t>Cedar Ridge High</t>
  </si>
  <si>
    <t>680310</t>
  </si>
  <si>
    <t>680312</t>
  </si>
  <si>
    <t>Efland Cheeks Elementary</t>
  </si>
  <si>
    <t>680324</t>
  </si>
  <si>
    <t>Grady Brown Elementary</t>
  </si>
  <si>
    <t>680328</t>
  </si>
  <si>
    <t>Gravelly Hill Middle</t>
  </si>
  <si>
    <t>680327</t>
  </si>
  <si>
    <t>Hillsborough Elementary</t>
  </si>
  <si>
    <t>680329</t>
  </si>
  <si>
    <t>680330</t>
  </si>
  <si>
    <t>Orange High</t>
  </si>
  <si>
    <t>680332</t>
  </si>
  <si>
    <t>Orange Middle</t>
  </si>
  <si>
    <t>680316</t>
  </si>
  <si>
    <t>Partnership Academy</t>
  </si>
  <si>
    <t>680335</t>
  </si>
  <si>
    <t>Pathways Elementary</t>
  </si>
  <si>
    <t>680336</t>
  </si>
  <si>
    <t>River Park Elementary</t>
  </si>
  <si>
    <t>680308</t>
  </si>
  <si>
    <t>Oxford Preparatory</t>
  </si>
  <si>
    <t>39B000</t>
  </si>
  <si>
    <t>Pamlico County Schools</t>
  </si>
  <si>
    <t>690LEA</t>
  </si>
  <si>
    <t>Fred A Anderson Elementary</t>
  </si>
  <si>
    <t>690312</t>
  </si>
  <si>
    <t>Pamlico County High</t>
  </si>
  <si>
    <t>690320</t>
  </si>
  <si>
    <t>Pamlico County Middle</t>
  </si>
  <si>
    <t>690316</t>
  </si>
  <si>
    <t>Pamlico County Primary</t>
  </si>
  <si>
    <t>690324</t>
  </si>
  <si>
    <t>Paul R. Brown Leadership Academy</t>
  </si>
  <si>
    <t>09A000</t>
  </si>
  <si>
    <t>Peak Charter Academy</t>
  </si>
  <si>
    <t>93M000</t>
  </si>
  <si>
    <t>Pender County Schools</t>
  </si>
  <si>
    <t>710LEA</t>
  </si>
  <si>
    <t>Burgaw Middle</t>
  </si>
  <si>
    <t>710316</t>
  </si>
  <si>
    <t>C.F. Pope Elementary</t>
  </si>
  <si>
    <t>710312</t>
  </si>
  <si>
    <t>Cape Fear Elementary</t>
  </si>
  <si>
    <t>710318</t>
  </si>
  <si>
    <t>Cape Fear Middle</t>
  </si>
  <si>
    <t>710320</t>
  </si>
  <si>
    <t>Heide Trask High</t>
  </si>
  <si>
    <t>710321</t>
  </si>
  <si>
    <t>Malpass Corner Elementary</t>
  </si>
  <si>
    <t>710324</t>
  </si>
  <si>
    <t>North Topsail Elementary</t>
  </si>
  <si>
    <t>710323</t>
  </si>
  <si>
    <t>Pender Early College High</t>
  </si>
  <si>
    <t>710327</t>
  </si>
  <si>
    <t>Pender High</t>
  </si>
  <si>
    <t>710326</t>
  </si>
  <si>
    <t>Pender Innovative Learning Academy</t>
  </si>
  <si>
    <t>710330</t>
  </si>
  <si>
    <t>Penderlea Elementary</t>
  </si>
  <si>
    <t>710328</t>
  </si>
  <si>
    <t>Rocky Point Elementary</t>
  </si>
  <si>
    <t>710332</t>
  </si>
  <si>
    <t>South Topsail Elementary</t>
  </si>
  <si>
    <t>710347</t>
  </si>
  <si>
    <t>Surf City Elementary</t>
  </si>
  <si>
    <t>710350</t>
  </si>
  <si>
    <t>Surf City Middle</t>
  </si>
  <si>
    <t>710352</t>
  </si>
  <si>
    <t>Topsail Annandale Elementary School</t>
  </si>
  <si>
    <t>710344</t>
  </si>
  <si>
    <t>Topsail High</t>
  </si>
  <si>
    <t>710342</t>
  </si>
  <si>
    <t>Topsail Middle</t>
  </si>
  <si>
    <t>710346</t>
  </si>
  <si>
    <t>West Pender Middle</t>
  </si>
  <si>
    <t>710348</t>
  </si>
  <si>
    <t>Perquimans County Schools</t>
  </si>
  <si>
    <t>720LEA</t>
  </si>
  <si>
    <t>Hertford Grammar</t>
  </si>
  <si>
    <t>720312</t>
  </si>
  <si>
    <t>Perquimans Central</t>
  </si>
  <si>
    <t>720304</t>
  </si>
  <si>
    <t>Perquimans County High</t>
  </si>
  <si>
    <t>720316</t>
  </si>
  <si>
    <t>Perquimans County Middle</t>
  </si>
  <si>
    <t>720320</t>
  </si>
  <si>
    <t>Person County Schools</t>
  </si>
  <si>
    <t>730LEA</t>
  </si>
  <si>
    <t>Helena Elementary</t>
  </si>
  <si>
    <t>730332</t>
  </si>
  <si>
    <t>North End Elementary</t>
  </si>
  <si>
    <t>730340</t>
  </si>
  <si>
    <t>Northern Middle</t>
  </si>
  <si>
    <t>730344</t>
  </si>
  <si>
    <t>Oak Lane Elementary</t>
  </si>
  <si>
    <t>730348</t>
  </si>
  <si>
    <t>PCS Virtual Academy</t>
  </si>
  <si>
    <t>730362</t>
  </si>
  <si>
    <t>Person Early College Innovation &amp; Ldrshp</t>
  </si>
  <si>
    <t>730350</t>
  </si>
  <si>
    <t>Person High</t>
  </si>
  <si>
    <t>730352</t>
  </si>
  <si>
    <t>730356</t>
  </si>
  <si>
    <t>730360</t>
  </si>
  <si>
    <t>Stories Creek Elementary</t>
  </si>
  <si>
    <t>730354</t>
  </si>
  <si>
    <t>Woodland Elementary</t>
  </si>
  <si>
    <t>730368</t>
  </si>
  <si>
    <t>Phoenix Academy - Primary, Elem, Upper</t>
  </si>
  <si>
    <t>41D000</t>
  </si>
  <si>
    <t>Piedmont Classical High School</t>
  </si>
  <si>
    <t>41K000</t>
  </si>
  <si>
    <t>Piedmont Community Charter School</t>
  </si>
  <si>
    <t>36B000</t>
  </si>
  <si>
    <t>Pine Lake Preparatory</t>
  </si>
  <si>
    <t>49E000</t>
  </si>
  <si>
    <t>Pine Springs Preparatory Academy</t>
  </si>
  <si>
    <t>93N000</t>
  </si>
  <si>
    <t>Pine Springs Preparatory Remote Academy</t>
  </si>
  <si>
    <t>93N310</t>
  </si>
  <si>
    <t>Pinnacle Classical Academy</t>
  </si>
  <si>
    <t>23A000</t>
  </si>
  <si>
    <t>Pioneer Springs Community School</t>
  </si>
  <si>
    <t>60Y000</t>
  </si>
  <si>
    <t>Pitt County Schools</t>
  </si>
  <si>
    <t>740LEA</t>
  </si>
  <si>
    <t>A G Cox Middle</t>
  </si>
  <si>
    <t>740302</t>
  </si>
  <si>
    <t>Ayden Elementary</t>
  </si>
  <si>
    <t>740304</t>
  </si>
  <si>
    <t>Ayden Middle</t>
  </si>
  <si>
    <t>740308</t>
  </si>
  <si>
    <t>Ayden-Grifton High</t>
  </si>
  <si>
    <t>740309</t>
  </si>
  <si>
    <t>Belvoir Elementary</t>
  </si>
  <si>
    <t>740310</t>
  </si>
  <si>
    <t>740320</t>
  </si>
  <si>
    <t>C M Eppes Middle</t>
  </si>
  <si>
    <t>740324</t>
  </si>
  <si>
    <t>Chicod</t>
  </si>
  <si>
    <t>740332</t>
  </si>
  <si>
    <t>740330</t>
  </si>
  <si>
    <t>D H Conley High</t>
  </si>
  <si>
    <t>740333</t>
  </si>
  <si>
    <t>E B Aycock Middle</t>
  </si>
  <si>
    <t>740337</t>
  </si>
  <si>
    <t>740336</t>
  </si>
  <si>
    <t>Elmhurst Elementary</t>
  </si>
  <si>
    <t>740338</t>
  </si>
  <si>
    <t>Falkland Elementary</t>
  </si>
  <si>
    <t>740334</t>
  </si>
  <si>
    <t>Farmville Central High</t>
  </si>
  <si>
    <t>740344</t>
  </si>
  <si>
    <t>Farmville Middle</t>
  </si>
  <si>
    <t>740340</t>
  </si>
  <si>
    <t>G R Whitfield</t>
  </si>
  <si>
    <t>740358</t>
  </si>
  <si>
    <t>Grifton</t>
  </si>
  <si>
    <t>740352</t>
  </si>
  <si>
    <t>H B Sugg Elementary</t>
  </si>
  <si>
    <t>740360</t>
  </si>
  <si>
    <t>Hope Middle</t>
  </si>
  <si>
    <t>740362</t>
  </si>
  <si>
    <t>Innovation Early College High</t>
  </si>
  <si>
    <t>740501</t>
  </si>
  <si>
    <t>Junius H Rose High</t>
  </si>
  <si>
    <t>740366</t>
  </si>
  <si>
    <t>Lakeforest Elementary</t>
  </si>
  <si>
    <t>740368</t>
  </si>
  <si>
    <t>North Pitt High</t>
  </si>
  <si>
    <t>740374</t>
  </si>
  <si>
    <t>740375</t>
  </si>
  <si>
    <t>Pactolus</t>
  </si>
  <si>
    <t>740376</t>
  </si>
  <si>
    <t>PCS Early College High School</t>
  </si>
  <si>
    <t>740500</t>
  </si>
  <si>
    <t>Pitt County Virtual</t>
  </si>
  <si>
    <t>740600</t>
  </si>
  <si>
    <t>Ridgewood Elementary</t>
  </si>
  <si>
    <t>740379</t>
  </si>
  <si>
    <t>Sadie Saulter</t>
  </si>
  <si>
    <t>740383</t>
  </si>
  <si>
    <t>Sam D Bundy Elementary</t>
  </si>
  <si>
    <t>740386</t>
  </si>
  <si>
    <t>South Central</t>
  </si>
  <si>
    <t>740388</t>
  </si>
  <si>
    <t>South Greenville Elementary</t>
  </si>
  <si>
    <t>740390</t>
  </si>
  <si>
    <t>Stokes</t>
  </si>
  <si>
    <t>740396</t>
  </si>
  <si>
    <t>Vidant Health</t>
  </si>
  <si>
    <t>740378</t>
  </si>
  <si>
    <t>W H Robinson Elementary</t>
  </si>
  <si>
    <t>740380</t>
  </si>
  <si>
    <t>Wahl Coates Elementary</t>
  </si>
  <si>
    <t>740400</t>
  </si>
  <si>
    <t>Wellcome Middle</t>
  </si>
  <si>
    <t>740402</t>
  </si>
  <si>
    <t>Wintergreen Intermediate</t>
  </si>
  <si>
    <t>740404</t>
  </si>
  <si>
    <t>Wintergreen Primary</t>
  </si>
  <si>
    <t>740406</t>
  </si>
  <si>
    <t>Pocosin Innovative Charter</t>
  </si>
  <si>
    <t>94A000</t>
  </si>
  <si>
    <t>Polk County Schools</t>
  </si>
  <si>
    <t>750LEA</t>
  </si>
  <si>
    <t>Polk Central Elementary School</t>
  </si>
  <si>
    <t>750314</t>
  </si>
  <si>
    <t>Polk County Early College</t>
  </si>
  <si>
    <t>750317</t>
  </si>
  <si>
    <t>Polk County High School</t>
  </si>
  <si>
    <t>750318</t>
  </si>
  <si>
    <t>Polk County Middle School</t>
  </si>
  <si>
    <t>750319</t>
  </si>
  <si>
    <t>Saluda Elementary School</t>
  </si>
  <si>
    <t>750320</t>
  </si>
  <si>
    <t>Sunny View Elementary School</t>
  </si>
  <si>
    <t>750328</t>
  </si>
  <si>
    <t>Tryon Elementary School</t>
  </si>
  <si>
    <t>750304</t>
  </si>
  <si>
    <t>PreEminent Charter</t>
  </si>
  <si>
    <t>92M000</t>
  </si>
  <si>
    <t>Public Schools of Robeson County</t>
  </si>
  <si>
    <t>780LEA</t>
  </si>
  <si>
    <t>Deep Branch Elementary</t>
  </si>
  <si>
    <t>780320</t>
  </si>
  <si>
    <t>East Robeson Primary</t>
  </si>
  <si>
    <t>780322</t>
  </si>
  <si>
    <t>Fairgrove Elementary School</t>
  </si>
  <si>
    <t>780328</t>
  </si>
  <si>
    <t>Fairmont High</t>
  </si>
  <si>
    <t>780325</t>
  </si>
  <si>
    <t>Fairmont Middle</t>
  </si>
  <si>
    <t>780326</t>
  </si>
  <si>
    <t>L Gilbert Carroll</t>
  </si>
  <si>
    <t>780330</t>
  </si>
  <si>
    <t>Littlefield Middle</t>
  </si>
  <si>
    <t>780336</t>
  </si>
  <si>
    <t>Long Branch Elementary</t>
  </si>
  <si>
    <t>780340</t>
  </si>
  <si>
    <t>Lumberton Junior</t>
  </si>
  <si>
    <t>780341</t>
  </si>
  <si>
    <t>Lumberton Senior High</t>
  </si>
  <si>
    <t>780342</t>
  </si>
  <si>
    <t>Magnolia Elementary</t>
  </si>
  <si>
    <t>780344</t>
  </si>
  <si>
    <t>Orrum Middle</t>
  </si>
  <si>
    <t>780352</t>
  </si>
  <si>
    <t>Oxendine Elementary</t>
  </si>
  <si>
    <t>780356</t>
  </si>
  <si>
    <t>Parkton Elementary</t>
  </si>
  <si>
    <t>780360</t>
  </si>
  <si>
    <t>Pembroke Elementary</t>
  </si>
  <si>
    <t>780364</t>
  </si>
  <si>
    <t>Pembroke Middle</t>
  </si>
  <si>
    <t>780368</t>
  </si>
  <si>
    <t>Peterson Elementary</t>
  </si>
  <si>
    <t>780374</t>
  </si>
  <si>
    <t>780376</t>
  </si>
  <si>
    <t>Prospect Elementary</t>
  </si>
  <si>
    <t>780384</t>
  </si>
  <si>
    <t>PSRC Early College at RCC</t>
  </si>
  <si>
    <t>780385</t>
  </si>
  <si>
    <t>Purnell Swett High</t>
  </si>
  <si>
    <t>780420</t>
  </si>
  <si>
    <t>Red Springs High</t>
  </si>
  <si>
    <t>780391</t>
  </si>
  <si>
    <t>Red Springs Middle</t>
  </si>
  <si>
    <t>780393</t>
  </si>
  <si>
    <t>Rex-Rennert Elementary</t>
  </si>
  <si>
    <t>780392</t>
  </si>
  <si>
    <t>Rosenwald Elementary</t>
  </si>
  <si>
    <t>780394</t>
  </si>
  <si>
    <t>Rowland Norment Elementary</t>
  </si>
  <si>
    <t>780398</t>
  </si>
  <si>
    <t>Saint Pauls Elementary</t>
  </si>
  <si>
    <t>780400</t>
  </si>
  <si>
    <t>Saint Pauls High</t>
  </si>
  <si>
    <t>780401</t>
  </si>
  <si>
    <t>Saint Pauls Middle</t>
  </si>
  <si>
    <t>780403</t>
  </si>
  <si>
    <t>South Robeson Middle School</t>
  </si>
  <si>
    <t>780421</t>
  </si>
  <si>
    <t>Southside Ashpole Elementary</t>
  </si>
  <si>
    <t>780408</t>
  </si>
  <si>
    <t>Tanglewood Elementary</t>
  </si>
  <si>
    <t>780407</t>
  </si>
  <si>
    <t>Townsend Elementary</t>
  </si>
  <si>
    <t>780410</t>
  </si>
  <si>
    <t>Union Chapel Elementary</t>
  </si>
  <si>
    <t>780412</t>
  </si>
  <si>
    <t>780416</t>
  </si>
  <si>
    <t>W H Knuckles</t>
  </si>
  <si>
    <t>780417</t>
  </si>
  <si>
    <t>Quality Education Academy</t>
  </si>
  <si>
    <t>34B000</t>
  </si>
  <si>
    <t>Queen's Grant Community School</t>
  </si>
  <si>
    <t>60G000</t>
  </si>
  <si>
    <t>Quest Academy</t>
  </si>
  <si>
    <t>92N000</t>
  </si>
  <si>
    <t>Raleigh Charter High School</t>
  </si>
  <si>
    <t>92K000</t>
  </si>
  <si>
    <t>Raleigh Oak Charter</t>
  </si>
  <si>
    <t>93R000</t>
  </si>
  <si>
    <t>Randolph County School System</t>
  </si>
  <si>
    <t>760LEA</t>
  </si>
  <si>
    <t>Archdale Elementary School</t>
  </si>
  <si>
    <t>760304</t>
  </si>
  <si>
    <t>Coleridge Elementary School</t>
  </si>
  <si>
    <t>760316</t>
  </si>
  <si>
    <t>Eastern Randolph High School</t>
  </si>
  <si>
    <t>760318</t>
  </si>
  <si>
    <t>Farmer Elementary School</t>
  </si>
  <si>
    <t>760320</t>
  </si>
  <si>
    <t>Franklinville Elementary School</t>
  </si>
  <si>
    <t>760324</t>
  </si>
  <si>
    <t>Grays Chapel Elementary School</t>
  </si>
  <si>
    <t>760328</t>
  </si>
  <si>
    <t>Hopewell Elementary School</t>
  </si>
  <si>
    <t>760329</t>
  </si>
  <si>
    <t>John R Lawrence Elementary School</t>
  </si>
  <si>
    <t>760330</t>
  </si>
  <si>
    <t>Level Cross Elementary School</t>
  </si>
  <si>
    <t>760331</t>
  </si>
  <si>
    <t>Liberty Elementary School</t>
  </si>
  <si>
    <t>760332</t>
  </si>
  <si>
    <t>New Market Elementary School</t>
  </si>
  <si>
    <t>760336</t>
  </si>
  <si>
    <t>Northeastern Randolph Middle School</t>
  </si>
  <si>
    <t>760338</t>
  </si>
  <si>
    <t>Providence Grove High School</t>
  </si>
  <si>
    <t>760339</t>
  </si>
  <si>
    <t>Ramseur Elementary School</t>
  </si>
  <si>
    <t>760340</t>
  </si>
  <si>
    <t>Randleman Elementary School</t>
  </si>
  <si>
    <t>760344</t>
  </si>
  <si>
    <t>Randleman High School</t>
  </si>
  <si>
    <t>760348</t>
  </si>
  <si>
    <t>Randleman Middle School</t>
  </si>
  <si>
    <t>760352</t>
  </si>
  <si>
    <t>Randolph Early College High School</t>
  </si>
  <si>
    <t>760354</t>
  </si>
  <si>
    <t>Seagrove Elementary School</t>
  </si>
  <si>
    <t>760356</t>
  </si>
  <si>
    <t>Southeastern Randolph Middle School</t>
  </si>
  <si>
    <t>760357</t>
  </si>
  <si>
    <t>Southmont Elementary School</t>
  </si>
  <si>
    <t>760359</t>
  </si>
  <si>
    <t>Southwestern Randolph High School</t>
  </si>
  <si>
    <t>760358</t>
  </si>
  <si>
    <t>Southwestern Randolph Middle School</t>
  </si>
  <si>
    <t>760360</t>
  </si>
  <si>
    <t>Tabernacle Elementary School</t>
  </si>
  <si>
    <t>760364</t>
  </si>
  <si>
    <t>Trindale Elementary School</t>
  </si>
  <si>
    <t>760368</t>
  </si>
  <si>
    <t>Trinity Elementary School</t>
  </si>
  <si>
    <t>760376</t>
  </si>
  <si>
    <t>Trinity High School</t>
  </si>
  <si>
    <t>760380</t>
  </si>
  <si>
    <t>Trinity Middle School</t>
  </si>
  <si>
    <t>760308</t>
  </si>
  <si>
    <t>Uwharrie Ridge Six-Twelve</t>
  </si>
  <si>
    <t>760382</t>
  </si>
  <si>
    <t>Wheatmore High School</t>
  </si>
  <si>
    <t>760388</t>
  </si>
  <si>
    <t>Wheatmore Middle School</t>
  </si>
  <si>
    <t>760378</t>
  </si>
  <si>
    <t>Reaching All Minds Academy</t>
  </si>
  <si>
    <t>32Q000</t>
  </si>
  <si>
    <t>Research Triangle Charter</t>
  </si>
  <si>
    <t>32H000</t>
  </si>
  <si>
    <t>Research Triangle High School</t>
  </si>
  <si>
    <t>32N000</t>
  </si>
  <si>
    <t>Revolution Academy</t>
  </si>
  <si>
    <t>41Q000</t>
  </si>
  <si>
    <t>Richmond County Schools</t>
  </si>
  <si>
    <t>770LEA</t>
  </si>
  <si>
    <t>Ashley Chapel Educational Center</t>
  </si>
  <si>
    <t>770342</t>
  </si>
  <si>
    <t>Cordova Middle</t>
  </si>
  <si>
    <t>770364</t>
  </si>
  <si>
    <t>East Rockingham Elementary</t>
  </si>
  <si>
    <t>770310</t>
  </si>
  <si>
    <t>Ellerbe Middle</t>
  </si>
  <si>
    <t>770316</t>
  </si>
  <si>
    <t>Fairview Heights Elementary</t>
  </si>
  <si>
    <t>770318</t>
  </si>
  <si>
    <t>Hamlet Middle</t>
  </si>
  <si>
    <t>770328</t>
  </si>
  <si>
    <t>L J Bell Elementary</t>
  </si>
  <si>
    <t>770340</t>
  </si>
  <si>
    <t>Mineral Springs Elementary</t>
  </si>
  <si>
    <t>770344</t>
  </si>
  <si>
    <t>Monroe Avenue Elementary</t>
  </si>
  <si>
    <t>770346</t>
  </si>
  <si>
    <t>Richmond Early College High</t>
  </si>
  <si>
    <t>770349</t>
  </si>
  <si>
    <t>Richmond Senior High</t>
  </si>
  <si>
    <t>770348</t>
  </si>
  <si>
    <t>Rockingham Middle</t>
  </si>
  <si>
    <t>770360</t>
  </si>
  <si>
    <t>Washington Street Elementary</t>
  </si>
  <si>
    <t>770370</t>
  </si>
  <si>
    <t>West Rockingham Elementary</t>
  </si>
  <si>
    <t>770368</t>
  </si>
  <si>
    <t>RISE Southeast Raleigh Charter School</t>
  </si>
  <si>
    <t>93J000</t>
  </si>
  <si>
    <t>Rising Leaders Academy</t>
  </si>
  <si>
    <t>53C000</t>
  </si>
  <si>
    <t>River Mill Academy</t>
  </si>
  <si>
    <t>01B000</t>
  </si>
  <si>
    <t>Riverside Leadership Academy</t>
  </si>
  <si>
    <t>25A000</t>
  </si>
  <si>
    <t>Roanoke Rapids City Schools</t>
  </si>
  <si>
    <t>421LEA</t>
  </si>
  <si>
    <t>Belmont Elementary School</t>
  </si>
  <si>
    <t>421304</t>
  </si>
  <si>
    <t>Chaloner Middle School</t>
  </si>
  <si>
    <t>421306</t>
  </si>
  <si>
    <t>Manning Elementary School</t>
  </si>
  <si>
    <t>421328</t>
  </si>
  <si>
    <t>Roanoke Rapids Early College High</t>
  </si>
  <si>
    <t>421336</t>
  </si>
  <si>
    <t>Roanoke Rapids High School</t>
  </si>
  <si>
    <t>421316</t>
  </si>
  <si>
    <t>Rockingham County Schools</t>
  </si>
  <si>
    <t>790LEA</t>
  </si>
  <si>
    <t>Bethany Elementary</t>
  </si>
  <si>
    <t>790302</t>
  </si>
  <si>
    <t>790310</t>
  </si>
  <si>
    <t>CTE Innovative High School</t>
  </si>
  <si>
    <t>790305</t>
  </si>
  <si>
    <t>Dalton McMichael High</t>
  </si>
  <si>
    <t>790314</t>
  </si>
  <si>
    <t>Douglass Elementary</t>
  </si>
  <si>
    <t>790318</t>
  </si>
  <si>
    <t>Huntsville Elementary</t>
  </si>
  <si>
    <t>790327</t>
  </si>
  <si>
    <t>J E Holmes Middle</t>
  </si>
  <si>
    <t>790330</t>
  </si>
  <si>
    <t>John M Morehead High</t>
  </si>
  <si>
    <t>790354</t>
  </si>
  <si>
    <t>John W Dillard Academy</t>
  </si>
  <si>
    <t>790362</t>
  </si>
  <si>
    <t>Leaksville-Spray Elementary</t>
  </si>
  <si>
    <t>790344</t>
  </si>
  <si>
    <t>790347</t>
  </si>
  <si>
    <t>Monroeton Elementary</t>
  </si>
  <si>
    <t>790350</t>
  </si>
  <si>
    <t>Moss Street Elementary</t>
  </si>
  <si>
    <t>790358</t>
  </si>
  <si>
    <t>Reidsville High</t>
  </si>
  <si>
    <t>790366</t>
  </si>
  <si>
    <t>Reidsville Middle</t>
  </si>
  <si>
    <t>790374</t>
  </si>
  <si>
    <t>Rockingham Co Early College High</t>
  </si>
  <si>
    <t>790379</t>
  </si>
  <si>
    <t>Rockingham County High</t>
  </si>
  <si>
    <t>790378</t>
  </si>
  <si>
    <t>Rockingham County Middle</t>
  </si>
  <si>
    <t>790380</t>
  </si>
  <si>
    <t>South End Elementary</t>
  </si>
  <si>
    <t>790386</t>
  </si>
  <si>
    <t>Stoneville Elementary</t>
  </si>
  <si>
    <t>790390</t>
  </si>
  <si>
    <t>The SCORE Center</t>
  </si>
  <si>
    <t>790392</t>
  </si>
  <si>
    <t>Wentworth Elementary</t>
  </si>
  <si>
    <t>790398</t>
  </si>
  <si>
    <t>Western Rockingham Middle</t>
  </si>
  <si>
    <t>790394</t>
  </si>
  <si>
    <t>Williamsburg Elementary</t>
  </si>
  <si>
    <t>790402</t>
  </si>
  <si>
    <t>Rocky Mount Preparatory</t>
  </si>
  <si>
    <t>64A000</t>
  </si>
  <si>
    <t>Rolesville Charter Academy</t>
  </si>
  <si>
    <t>93P000</t>
  </si>
  <si>
    <t>Rowan-Salisbury Schools</t>
  </si>
  <si>
    <t>800LEA</t>
  </si>
  <si>
    <t>Bostian Elementary</t>
  </si>
  <si>
    <t>800312</t>
  </si>
  <si>
    <t>Carson High</t>
  </si>
  <si>
    <t>800361</t>
  </si>
  <si>
    <t>China Grove Elementary</t>
  </si>
  <si>
    <t>800316</t>
  </si>
  <si>
    <t>China Grove Middle</t>
  </si>
  <si>
    <t>800320</t>
  </si>
  <si>
    <t>Corriher Lipe Middle</t>
  </si>
  <si>
    <t>800328</t>
  </si>
  <si>
    <t>Dole Elementary</t>
  </si>
  <si>
    <t>800359</t>
  </si>
  <si>
    <t>East Rowan High</t>
  </si>
  <si>
    <t>800340</t>
  </si>
  <si>
    <t>800314</t>
  </si>
  <si>
    <t>Granite Quarry Elementary</t>
  </si>
  <si>
    <t>800356</t>
  </si>
  <si>
    <t>Henderson High</t>
  </si>
  <si>
    <t>800308</t>
  </si>
  <si>
    <t>Hurley Elementary</t>
  </si>
  <si>
    <t>800360</t>
  </si>
  <si>
    <t>Isenberg Elementary</t>
  </si>
  <si>
    <t>800358</t>
  </si>
  <si>
    <t>Knollwood Elementary</t>
  </si>
  <si>
    <t>800362</t>
  </si>
  <si>
    <t>Koontz Elementary</t>
  </si>
  <si>
    <t>800346</t>
  </si>
  <si>
    <t>Landis Elementary</t>
  </si>
  <si>
    <t>800364</t>
  </si>
  <si>
    <t>Millbridge Elementary</t>
  </si>
  <si>
    <t>800366</t>
  </si>
  <si>
    <t>Morgan Elementary</t>
  </si>
  <si>
    <t>800368</t>
  </si>
  <si>
    <t>Mt Ulla Elementary</t>
  </si>
  <si>
    <t>800372</t>
  </si>
  <si>
    <t>North Rowan Elementary</t>
  </si>
  <si>
    <t>800373</t>
  </si>
  <si>
    <t>North Rowan High</t>
  </si>
  <si>
    <t>800376</t>
  </si>
  <si>
    <t>North Rowan Middle</t>
  </si>
  <si>
    <t>800377</t>
  </si>
  <si>
    <t>Overton Elementary</t>
  </si>
  <si>
    <t>800315</t>
  </si>
  <si>
    <t>Rockwell Elementary</t>
  </si>
  <si>
    <t>800392</t>
  </si>
  <si>
    <t>Rowan Co Early College</t>
  </si>
  <si>
    <t>800394</t>
  </si>
  <si>
    <t>Salisbury High</t>
  </si>
  <si>
    <t>800396</t>
  </si>
  <si>
    <t>Shive Elementary</t>
  </si>
  <si>
    <t>800347</t>
  </si>
  <si>
    <t>South Rowan High</t>
  </si>
  <si>
    <t>800400</t>
  </si>
  <si>
    <t>Southeast Middle</t>
  </si>
  <si>
    <t>800398</t>
  </si>
  <si>
    <t>Summit Virtual Academy</t>
  </si>
  <si>
    <t>800500</t>
  </si>
  <si>
    <t>West Rowan Elementary</t>
  </si>
  <si>
    <t>800406</t>
  </si>
  <si>
    <t>West Rowan High</t>
  </si>
  <si>
    <t>800408</t>
  </si>
  <si>
    <t>West Rowan Middle</t>
  </si>
  <si>
    <t>800410</t>
  </si>
  <si>
    <t>Roxboro Community School</t>
  </si>
  <si>
    <t>73B000</t>
  </si>
  <si>
    <t>Rutherford County Schools</t>
  </si>
  <si>
    <t>810LEA</t>
  </si>
  <si>
    <t>CHASE High School</t>
  </si>
  <si>
    <t>810324</t>
  </si>
  <si>
    <t>CHASE Middle School</t>
  </si>
  <si>
    <t>810326</t>
  </si>
  <si>
    <t>Cliffside Elementary School</t>
  </si>
  <si>
    <t>810328</t>
  </si>
  <si>
    <t>East Rutherford High School</t>
  </si>
  <si>
    <t>810340</t>
  </si>
  <si>
    <t>East Rutherford Middle School</t>
  </si>
  <si>
    <t>810342</t>
  </si>
  <si>
    <t>Ellenboro Elementary School</t>
  </si>
  <si>
    <t>810344</t>
  </si>
  <si>
    <t>Forest City-Dunbar Elementary School</t>
  </si>
  <si>
    <t>810336</t>
  </si>
  <si>
    <t>Forrest W. Hunt Elementary School</t>
  </si>
  <si>
    <t>810350</t>
  </si>
  <si>
    <t>Harris Elementary School</t>
  </si>
  <si>
    <t>810360</t>
  </si>
  <si>
    <t>Pinnacle Elementary School</t>
  </si>
  <si>
    <t>810370</t>
  </si>
  <si>
    <t>R-S Central High School</t>
  </si>
  <si>
    <t>810384</t>
  </si>
  <si>
    <t>R-S Middle School</t>
  </si>
  <si>
    <t>810378</t>
  </si>
  <si>
    <t>Rutherford Early College High School</t>
  </si>
  <si>
    <t>810385</t>
  </si>
  <si>
    <t>Rutherfordton Elementary School</t>
  </si>
  <si>
    <t>810388</t>
  </si>
  <si>
    <t>Spindale Elementary School</t>
  </si>
  <si>
    <t>810396</t>
  </si>
  <si>
    <t>Sunshine Elementary School</t>
  </si>
  <si>
    <t>810400</t>
  </si>
  <si>
    <t>Sallie B Howard School</t>
  </si>
  <si>
    <t>98A000</t>
  </si>
  <si>
    <t>Sampson County Schools</t>
  </si>
  <si>
    <t>820LEA</t>
  </si>
  <si>
    <t>Clement Elementary</t>
  </si>
  <si>
    <t>820320</t>
  </si>
  <si>
    <t>Hargrove Elementary</t>
  </si>
  <si>
    <t>820340</t>
  </si>
  <si>
    <t>Hobbton Elementary</t>
  </si>
  <si>
    <t>820346</t>
  </si>
  <si>
    <t>Hobbton High</t>
  </si>
  <si>
    <t>820348</t>
  </si>
  <si>
    <t>Hobbton Middle</t>
  </si>
  <si>
    <t>820347</t>
  </si>
  <si>
    <t>Lakewood High</t>
  </si>
  <si>
    <t>820349</t>
  </si>
  <si>
    <t>820350</t>
  </si>
  <si>
    <t>Midway High</t>
  </si>
  <si>
    <t>820352</t>
  </si>
  <si>
    <t>Midway Middle</t>
  </si>
  <si>
    <t>820354</t>
  </si>
  <si>
    <t>Plain View Elementary</t>
  </si>
  <si>
    <t>820364</t>
  </si>
  <si>
    <t>Roseboro Elementary</t>
  </si>
  <si>
    <t>820312</t>
  </si>
  <si>
    <t>Roseboro-Salemburg Middle</t>
  </si>
  <si>
    <t>820372</t>
  </si>
  <si>
    <t>Salemburg Elementary</t>
  </si>
  <si>
    <t>820376</t>
  </si>
  <si>
    <t>Sampson Early College High</t>
  </si>
  <si>
    <t>820324</t>
  </si>
  <si>
    <t>820384</t>
  </si>
  <si>
    <t>Union High</t>
  </si>
  <si>
    <t>820388</t>
  </si>
  <si>
    <t>Union Intermediate</t>
  </si>
  <si>
    <t>820385</t>
  </si>
  <si>
    <t>Union Middle</t>
  </si>
  <si>
    <t>820370</t>
  </si>
  <si>
    <t>Scotland County Schools</t>
  </si>
  <si>
    <t>830LEA</t>
  </si>
  <si>
    <t>Carver Middle</t>
  </si>
  <si>
    <t>830304</t>
  </si>
  <si>
    <t>Laurel Hill Elementary</t>
  </si>
  <si>
    <t>830328</t>
  </si>
  <si>
    <t>Scotland Early College High</t>
  </si>
  <si>
    <t>830348</t>
  </si>
  <si>
    <t>Scotland High School</t>
  </si>
  <si>
    <t>830343</t>
  </si>
  <si>
    <t>Shaw Academy</t>
  </si>
  <si>
    <t>830316</t>
  </si>
  <si>
    <t>South Johnson Elementary</t>
  </si>
  <si>
    <t>830352</t>
  </si>
  <si>
    <t>Spring Hill Middle</t>
  </si>
  <si>
    <t>830349</t>
  </si>
  <si>
    <t>Sycamore Lane Elementary</t>
  </si>
  <si>
    <t>830364</t>
  </si>
  <si>
    <t>Sycamore Lane Primary</t>
  </si>
  <si>
    <t>830365</t>
  </si>
  <si>
    <t>Wagram Elementary</t>
  </si>
  <si>
    <t>830360</t>
  </si>
  <si>
    <t>Shining Rock Classical Academy</t>
  </si>
  <si>
    <t>44A000</t>
  </si>
  <si>
    <t>Sledge Institute</t>
  </si>
  <si>
    <t>91C000</t>
  </si>
  <si>
    <t>Socrates Academy</t>
  </si>
  <si>
    <t>60J000</t>
  </si>
  <si>
    <t>Southeastern Academy</t>
  </si>
  <si>
    <t>78B000</t>
  </si>
  <si>
    <t>Southern Wake Academy</t>
  </si>
  <si>
    <t>92P000</t>
  </si>
  <si>
    <t>Southwest Charlotte STEM Academy</t>
  </si>
  <si>
    <t>62J000</t>
  </si>
  <si>
    <t>Stanly County Schools</t>
  </si>
  <si>
    <t>840LEA</t>
  </si>
  <si>
    <t>Albemarle High</t>
  </si>
  <si>
    <t>840302</t>
  </si>
  <si>
    <t>Albemarle Middle</t>
  </si>
  <si>
    <t>840303</t>
  </si>
  <si>
    <t>Aquadale Elementary</t>
  </si>
  <si>
    <t>840304</t>
  </si>
  <si>
    <t>Badin Elementary</t>
  </si>
  <si>
    <t>840308</t>
  </si>
  <si>
    <t>840310</t>
  </si>
  <si>
    <t>East Albemarle Elementary</t>
  </si>
  <si>
    <t>840316</t>
  </si>
  <si>
    <t>Endy Elementary</t>
  </si>
  <si>
    <t>840312</t>
  </si>
  <si>
    <t>Locust Elementary</t>
  </si>
  <si>
    <t>840320</t>
  </si>
  <si>
    <t>Millingport Elementary</t>
  </si>
  <si>
    <t>840324</t>
  </si>
  <si>
    <t>North Stanly High</t>
  </si>
  <si>
    <t>840332</t>
  </si>
  <si>
    <t>North Stanly Middle</t>
  </si>
  <si>
    <t>840328</t>
  </si>
  <si>
    <t>Norwood Elementary</t>
  </si>
  <si>
    <t>840336</t>
  </si>
  <si>
    <t>Oakboro Choice STEM</t>
  </si>
  <si>
    <t>840342</t>
  </si>
  <si>
    <t>Richfield Elementary</t>
  </si>
  <si>
    <t>840344</t>
  </si>
  <si>
    <t>South Stanly High</t>
  </si>
  <si>
    <t>840356</t>
  </si>
  <si>
    <t>South Stanly Middle</t>
  </si>
  <si>
    <t>840358</t>
  </si>
  <si>
    <t>Stanfield Elementary</t>
  </si>
  <si>
    <t>840360</t>
  </si>
  <si>
    <t>Stanly Academy Learning Center</t>
  </si>
  <si>
    <t>840370</t>
  </si>
  <si>
    <t>Stanly County Virtual Education</t>
  </si>
  <si>
    <t>840366</t>
  </si>
  <si>
    <t>Stanly Early College High</t>
  </si>
  <si>
    <t>840361</t>
  </si>
  <si>
    <t>Stanly STEM Early College</t>
  </si>
  <si>
    <t>840362</t>
  </si>
  <si>
    <t>West Stanly High</t>
  </si>
  <si>
    <t>840368</t>
  </si>
  <si>
    <t>West Stanly Middle School</t>
  </si>
  <si>
    <t>840350</t>
  </si>
  <si>
    <t>STARS Charter</t>
  </si>
  <si>
    <t>63B000</t>
  </si>
  <si>
    <t>STARS Remote Academy</t>
  </si>
  <si>
    <t>63B310</t>
  </si>
  <si>
    <t>Steele Creek Preparatory Academy</t>
  </si>
  <si>
    <t>61Y000</t>
  </si>
  <si>
    <t>Sterling Montessori Academy</t>
  </si>
  <si>
    <t>92E000</t>
  </si>
  <si>
    <t>Stewart Creek High</t>
  </si>
  <si>
    <t>61L000</t>
  </si>
  <si>
    <t>Stokes County Schools</t>
  </si>
  <si>
    <t>850LEA</t>
  </si>
  <si>
    <t>Chestnut Grove Middle School</t>
  </si>
  <si>
    <t>850304</t>
  </si>
  <si>
    <t>Germanton Elementary School</t>
  </si>
  <si>
    <t>850312</t>
  </si>
  <si>
    <t>King Elementary School</t>
  </si>
  <si>
    <t>850316</t>
  </si>
  <si>
    <t>London Elementary School</t>
  </si>
  <si>
    <t>850354</t>
  </si>
  <si>
    <t>Mount Olive Elementary School</t>
  </si>
  <si>
    <t>850314</t>
  </si>
  <si>
    <t>Nancy Reynolds Elementary School</t>
  </si>
  <si>
    <t>850328</t>
  </si>
  <si>
    <t>North Stokes High School</t>
  </si>
  <si>
    <t>850332</t>
  </si>
  <si>
    <t>Piney Grove Middle School</t>
  </si>
  <si>
    <t>850338</t>
  </si>
  <si>
    <t>850340</t>
  </si>
  <si>
    <t>Poplar Springs Elementary School</t>
  </si>
  <si>
    <t>850342</t>
  </si>
  <si>
    <t>Sandy Ridge Elementary School</t>
  </si>
  <si>
    <t>850348</t>
  </si>
  <si>
    <t>South Stokes High School</t>
  </si>
  <si>
    <t>850352</t>
  </si>
  <si>
    <t>Southeastern Stokes Middle School</t>
  </si>
  <si>
    <t>850350</t>
  </si>
  <si>
    <t>Stokes County Academy</t>
  </si>
  <si>
    <t>850324</t>
  </si>
  <si>
    <t>Stokes Early College High School</t>
  </si>
  <si>
    <t>850360</t>
  </si>
  <si>
    <t>Walnut Cove Elementary School</t>
  </si>
  <si>
    <t>850356</t>
  </si>
  <si>
    <t>West Stokes High School</t>
  </si>
  <si>
    <t>850358</t>
  </si>
  <si>
    <t>Success Institute Charter</t>
  </si>
  <si>
    <t>49D000</t>
  </si>
  <si>
    <t>Sugar Creek Charter</t>
  </si>
  <si>
    <t>60B000</t>
  </si>
  <si>
    <t>Summerfield Charter Academy</t>
  </si>
  <si>
    <t>41J000</t>
  </si>
  <si>
    <t>Summit Charter</t>
  </si>
  <si>
    <t>50A000</t>
  </si>
  <si>
    <t>Summit Creek Academy</t>
  </si>
  <si>
    <t>41R000</t>
  </si>
  <si>
    <t>Surry County Schools</t>
  </si>
  <si>
    <t>860LEA</t>
  </si>
  <si>
    <t>Cedar Ridge Elementary</t>
  </si>
  <si>
    <t>860302</t>
  </si>
  <si>
    <t>Central Middle</t>
  </si>
  <si>
    <t>860306</t>
  </si>
  <si>
    <t>Copeland Elementary</t>
  </si>
  <si>
    <t>860308</t>
  </si>
  <si>
    <t>Dobson Elementary</t>
  </si>
  <si>
    <t>860312</t>
  </si>
  <si>
    <t>East Surry High</t>
  </si>
  <si>
    <t>860316</t>
  </si>
  <si>
    <t>Flat Rock Elementary</t>
  </si>
  <si>
    <t>860320</t>
  </si>
  <si>
    <t>Franklin Elementary</t>
  </si>
  <si>
    <t>860324</t>
  </si>
  <si>
    <t>J Sam Gentry Middle</t>
  </si>
  <si>
    <t>860326</t>
  </si>
  <si>
    <t>Meadowview Magnet Middle</t>
  </si>
  <si>
    <t>860330</t>
  </si>
  <si>
    <t>Mountain Park Elementary</t>
  </si>
  <si>
    <t>860332</t>
  </si>
  <si>
    <t>North Surry High</t>
  </si>
  <si>
    <t>860336</t>
  </si>
  <si>
    <t>Pilot Mountain Elementary</t>
  </si>
  <si>
    <t>860339</t>
  </si>
  <si>
    <t>Pilot Mountain Middle</t>
  </si>
  <si>
    <t>860340</t>
  </si>
  <si>
    <t>Rockford Elementary</t>
  </si>
  <si>
    <t>860344</t>
  </si>
  <si>
    <t>Shoals Elementary</t>
  </si>
  <si>
    <t>860348</t>
  </si>
  <si>
    <t>Surry Central High</t>
  </si>
  <si>
    <t>860352</t>
  </si>
  <si>
    <t>Surry Early College</t>
  </si>
  <si>
    <t>860354</t>
  </si>
  <si>
    <t>Surry Online Magnet School</t>
  </si>
  <si>
    <t>860353</t>
  </si>
  <si>
    <t>Westfield Elementary</t>
  </si>
  <si>
    <t>860356</t>
  </si>
  <si>
    <t>White Plains Elementary</t>
  </si>
  <si>
    <t>860360</t>
  </si>
  <si>
    <t>Swain County Schools</t>
  </si>
  <si>
    <t>870LEA</t>
  </si>
  <si>
    <t>Swain Academy</t>
  </si>
  <si>
    <t>870316</t>
  </si>
  <si>
    <t>Swain County East Elementary</t>
  </si>
  <si>
    <t>870320</t>
  </si>
  <si>
    <t>Swain County High School</t>
  </si>
  <si>
    <t>870314</t>
  </si>
  <si>
    <t>Swain County Middle School</t>
  </si>
  <si>
    <t>870318</t>
  </si>
  <si>
    <t>Swain County West Elementary</t>
  </si>
  <si>
    <t>870324</t>
  </si>
  <si>
    <t>Telra Institute</t>
  </si>
  <si>
    <t>62L000</t>
  </si>
  <si>
    <t>Telra Institute Remote Academy</t>
  </si>
  <si>
    <t>62L310</t>
  </si>
  <si>
    <t>&lt;10</t>
  </si>
  <si>
    <t>*</t>
  </si>
  <si>
    <t>The Academy of Moore County</t>
  </si>
  <si>
    <t>63A000</t>
  </si>
  <si>
    <t>The Arts Based School</t>
  </si>
  <si>
    <t>34G000</t>
  </si>
  <si>
    <t>The Capitol Encore Academy</t>
  </si>
  <si>
    <t>26C000</t>
  </si>
  <si>
    <t>The Expedition School</t>
  </si>
  <si>
    <t>68C000</t>
  </si>
  <si>
    <t>The Experiential School of Greensboro</t>
  </si>
  <si>
    <t>41N000</t>
  </si>
  <si>
    <t>The Exploris School</t>
  </si>
  <si>
    <t>92B000</t>
  </si>
  <si>
    <t>The Franklin School of Innovation</t>
  </si>
  <si>
    <t>11D000</t>
  </si>
  <si>
    <t>The Hawbridge School</t>
  </si>
  <si>
    <t>01D000</t>
  </si>
  <si>
    <t>The Institute Development Young Leaders</t>
  </si>
  <si>
    <t>32P000</t>
  </si>
  <si>
    <t>The Math and Science Academy of Apex</t>
  </si>
  <si>
    <t>93Y000</t>
  </si>
  <si>
    <t>The Mountain Community Sch</t>
  </si>
  <si>
    <t>45A000</t>
  </si>
  <si>
    <t>Thomas Academy</t>
  </si>
  <si>
    <t>24B000</t>
  </si>
  <si>
    <t>Thomas Jefferson Classical Academy</t>
  </si>
  <si>
    <t>81A000</t>
  </si>
  <si>
    <t>Thomasville City Schools</t>
  </si>
  <si>
    <t>292LEA</t>
  </si>
  <si>
    <t>Bulldog Academy</t>
  </si>
  <si>
    <t>292300</t>
  </si>
  <si>
    <t>Liberty Drive Elementary</t>
  </si>
  <si>
    <t>292316</t>
  </si>
  <si>
    <t>Thomasville High</t>
  </si>
  <si>
    <t>292324</t>
  </si>
  <si>
    <t>Thomasville Middle</t>
  </si>
  <si>
    <t>292320</t>
  </si>
  <si>
    <t>Thomasville Primary</t>
  </si>
  <si>
    <t>292318</t>
  </si>
  <si>
    <t>Tiller School</t>
  </si>
  <si>
    <t>16B000</t>
  </si>
  <si>
    <t>Tillery Charter Academy</t>
  </si>
  <si>
    <t>62A000</t>
  </si>
  <si>
    <t>Tillery Charter Remote Academy</t>
  </si>
  <si>
    <t>62A310</t>
  </si>
  <si>
    <t>TMSA Charlotte</t>
  </si>
  <si>
    <t>61N000</t>
  </si>
  <si>
    <t>Transylvania County Schools</t>
  </si>
  <si>
    <t>880LEA</t>
  </si>
  <si>
    <t>Brevard Elementary</t>
  </si>
  <si>
    <t>880304</t>
  </si>
  <si>
    <t>Brevard High</t>
  </si>
  <si>
    <t>880308</t>
  </si>
  <si>
    <t>Brevard Middle</t>
  </si>
  <si>
    <t>880312</t>
  </si>
  <si>
    <t>Davidson River School</t>
  </si>
  <si>
    <t>880320</t>
  </si>
  <si>
    <t>Pisgah Forest Elementary</t>
  </si>
  <si>
    <t>880318</t>
  </si>
  <si>
    <t>Rosman Elementary</t>
  </si>
  <si>
    <t>880324</t>
  </si>
  <si>
    <t>Rosman High</t>
  </si>
  <si>
    <t>880328</t>
  </si>
  <si>
    <t>Rosman Middle</t>
  </si>
  <si>
    <t>880330</t>
  </si>
  <si>
    <t>T C Henderson</t>
  </si>
  <si>
    <t>880336</t>
  </si>
  <si>
    <t>Triad Math and Science Academy</t>
  </si>
  <si>
    <t>41F000</t>
  </si>
  <si>
    <t>Triangle Math and Science Academy</t>
  </si>
  <si>
    <t>92T000</t>
  </si>
  <si>
    <t>Two Rivers Community School</t>
  </si>
  <si>
    <t>95A000</t>
  </si>
  <si>
    <t>Tyrrell County Schools</t>
  </si>
  <si>
    <t>890LEA</t>
  </si>
  <si>
    <t>Columbia High</t>
  </si>
  <si>
    <t>890304</t>
  </si>
  <si>
    <t>Columbia Middle</t>
  </si>
  <si>
    <t>890306</t>
  </si>
  <si>
    <t>Tyrrell Elementary</t>
  </si>
  <si>
    <t>890308</t>
  </si>
  <si>
    <t>Union Academy</t>
  </si>
  <si>
    <t>90A000</t>
  </si>
  <si>
    <t>Union County Public Schools</t>
  </si>
  <si>
    <t>900LEA</t>
  </si>
  <si>
    <t>Antioch Elementary</t>
  </si>
  <si>
    <t>900302</t>
  </si>
  <si>
    <t>Benton Heights Elementary</t>
  </si>
  <si>
    <t>900304</t>
  </si>
  <si>
    <t>Central Academy of Technology and Arts</t>
  </si>
  <si>
    <t>900366</t>
  </si>
  <si>
    <t>Cuthbertson High</t>
  </si>
  <si>
    <t>900311</t>
  </si>
  <si>
    <t>Cuthbertson Middle</t>
  </si>
  <si>
    <t>900310</t>
  </si>
  <si>
    <t>900306</t>
  </si>
  <si>
    <t>East Union Middle</t>
  </si>
  <si>
    <t>900308</t>
  </si>
  <si>
    <t>900312</t>
  </si>
  <si>
    <t>Forest Hills High</t>
  </si>
  <si>
    <t>900316</t>
  </si>
  <si>
    <t>Hemby Bridge Elementary</t>
  </si>
  <si>
    <t>900318</t>
  </si>
  <si>
    <t>Indian Trail Elementary</t>
  </si>
  <si>
    <t>900320</t>
  </si>
  <si>
    <t>Kensington Elementary</t>
  </si>
  <si>
    <t>900328</t>
  </si>
  <si>
    <t>Marshville Elementary</t>
  </si>
  <si>
    <t>900332</t>
  </si>
  <si>
    <t>Marvin Elementary</t>
  </si>
  <si>
    <t>900334</t>
  </si>
  <si>
    <t>Marvin Ridge High</t>
  </si>
  <si>
    <t>900393</t>
  </si>
  <si>
    <t>Marvin Ridge Middle</t>
  </si>
  <si>
    <t>900391</t>
  </si>
  <si>
    <t>Monroe High</t>
  </si>
  <si>
    <t>900336</t>
  </si>
  <si>
    <t>Monroe Middle</t>
  </si>
  <si>
    <t>900314</t>
  </si>
  <si>
    <t>New Salem Elementary</t>
  </si>
  <si>
    <t>900340</t>
  </si>
  <si>
    <t>New Town Elementary</t>
  </si>
  <si>
    <t>900305</t>
  </si>
  <si>
    <t>Parkwood High</t>
  </si>
  <si>
    <t>900344</t>
  </si>
  <si>
    <t>Parkwood Middle</t>
  </si>
  <si>
    <t>900346</t>
  </si>
  <si>
    <t>Piedmont High</t>
  </si>
  <si>
    <t>900348</t>
  </si>
  <si>
    <t>Piedmont Middle</t>
  </si>
  <si>
    <t>900350</t>
  </si>
  <si>
    <t>Poplin Elementary</t>
  </si>
  <si>
    <t>900347</t>
  </si>
  <si>
    <t>Porter Ridge Elementary</t>
  </si>
  <si>
    <t>900341</t>
  </si>
  <si>
    <t>Porter Ridge High School</t>
  </si>
  <si>
    <t>900342</t>
  </si>
  <si>
    <t>Porter Ridge Middle School</t>
  </si>
  <si>
    <t>900343</t>
  </si>
  <si>
    <t>900352</t>
  </si>
  <si>
    <t>Rea View Elementary</t>
  </si>
  <si>
    <t>900303</t>
  </si>
  <si>
    <t>Rock Rest Elementary</t>
  </si>
  <si>
    <t>900351</t>
  </si>
  <si>
    <t>900307</t>
  </si>
  <si>
    <t>900353</t>
  </si>
  <si>
    <t>Sardis Elementary</t>
  </si>
  <si>
    <t>900354</t>
  </si>
  <si>
    <t>Shiloh Valley Elementary</t>
  </si>
  <si>
    <t>900356</t>
  </si>
  <si>
    <t>Shiloh Valley Primary School</t>
  </si>
  <si>
    <t>900363</t>
  </si>
  <si>
    <t>South Providence</t>
  </si>
  <si>
    <t>900365</t>
  </si>
  <si>
    <t>Stallings Elementary</t>
  </si>
  <si>
    <t>900358</t>
  </si>
  <si>
    <t>Sun Valley High</t>
  </si>
  <si>
    <t>900360</t>
  </si>
  <si>
    <t>Sun Valley Middle</t>
  </si>
  <si>
    <t>900362</t>
  </si>
  <si>
    <t>Union County Early College</t>
  </si>
  <si>
    <t>900367</t>
  </si>
  <si>
    <t>900364</t>
  </si>
  <si>
    <t>Unionville Elementary</t>
  </si>
  <si>
    <t>900368</t>
  </si>
  <si>
    <t>Walter Bickett Elementary</t>
  </si>
  <si>
    <t>900370</t>
  </si>
  <si>
    <t>Waxhaw Elementary</t>
  </si>
  <si>
    <t>900372</t>
  </si>
  <si>
    <t>Weddington Elementary</t>
  </si>
  <si>
    <t>900376</t>
  </si>
  <si>
    <t>Weddington High</t>
  </si>
  <si>
    <t>900377</t>
  </si>
  <si>
    <t>Weddington Middle</t>
  </si>
  <si>
    <t>900378</t>
  </si>
  <si>
    <t>Wesley Chapel Elementary</t>
  </si>
  <si>
    <t>900380</t>
  </si>
  <si>
    <t>Western Union Elementary</t>
  </si>
  <si>
    <t>900384</t>
  </si>
  <si>
    <t>Wingate Elementary</t>
  </si>
  <si>
    <t>900388</t>
  </si>
  <si>
    <t>Wolfe School</t>
  </si>
  <si>
    <t>900392</t>
  </si>
  <si>
    <t>Union Day School</t>
  </si>
  <si>
    <t>90B000</t>
  </si>
  <si>
    <t>Union Prep Academy at Indian Trail</t>
  </si>
  <si>
    <t>90C000</t>
  </si>
  <si>
    <t>United Community School</t>
  </si>
  <si>
    <t>61K000</t>
  </si>
  <si>
    <t>Unity Classical Charter School</t>
  </si>
  <si>
    <t>61S000</t>
  </si>
  <si>
    <t>Uwharrie Charter Academy</t>
  </si>
  <si>
    <t>76A000</t>
  </si>
  <si>
    <t>Uwharrie Charter Remote Academy</t>
  </si>
  <si>
    <t>76A310</t>
  </si>
  <si>
    <t>Vance Charter School</t>
  </si>
  <si>
    <t>91A000</t>
  </si>
  <si>
    <t>Vance County Schools</t>
  </si>
  <si>
    <t>910LEA</t>
  </si>
  <si>
    <t>AdVance Academy</t>
  </si>
  <si>
    <t>910368</t>
  </si>
  <si>
    <t>Aycock Elementary</t>
  </si>
  <si>
    <t>910304</t>
  </si>
  <si>
    <t>Carver Elementary</t>
  </si>
  <si>
    <t>910308</t>
  </si>
  <si>
    <t>Clarke Elementary</t>
  </si>
  <si>
    <t>910311</t>
  </si>
  <si>
    <t>Dabney Elementary</t>
  </si>
  <si>
    <t>910314</t>
  </si>
  <si>
    <t>E M Rollins Elementary</t>
  </si>
  <si>
    <t>910360</t>
  </si>
  <si>
    <t>E O Young Jr Elementary</t>
  </si>
  <si>
    <t>910346</t>
  </si>
  <si>
    <t>L B Yancey Elementary</t>
  </si>
  <si>
    <t>910376</t>
  </si>
  <si>
    <t>910340</t>
  </si>
  <si>
    <t>Pinkston Street Elementary</t>
  </si>
  <si>
    <t>910356</t>
  </si>
  <si>
    <t>STEM Early High</t>
  </si>
  <si>
    <t>910384</t>
  </si>
  <si>
    <t>Vance Co Early College</t>
  </si>
  <si>
    <t>910382</t>
  </si>
  <si>
    <t>Vance County High School</t>
  </si>
  <si>
    <t>910370</t>
  </si>
  <si>
    <t>Vance County Middle School</t>
  </si>
  <si>
    <t>910316</t>
  </si>
  <si>
    <t>Vance Virtual Village Academy</t>
  </si>
  <si>
    <t>910369</t>
  </si>
  <si>
    <t>Zeb Vance Elementary</t>
  </si>
  <si>
    <t>910380</t>
  </si>
  <si>
    <t>Voyager Academy</t>
  </si>
  <si>
    <t>32L000</t>
  </si>
  <si>
    <t>Wake County Schools</t>
  </si>
  <si>
    <t>920LEA</t>
  </si>
  <si>
    <t>Abbotts Creek Elementary</t>
  </si>
  <si>
    <t>920303</t>
  </si>
  <si>
    <t>Adams Elementary</t>
  </si>
  <si>
    <t>920304</t>
  </si>
  <si>
    <t>Alston Ridge Elementary</t>
  </si>
  <si>
    <t>920307</t>
  </si>
  <si>
    <t>Alston Ridge Middle</t>
  </si>
  <si>
    <t>920309</t>
  </si>
  <si>
    <t>Apex Elementary</t>
  </si>
  <si>
    <t>920308</t>
  </si>
  <si>
    <t>Apex Friendship Elementary</t>
  </si>
  <si>
    <t>920314</t>
  </si>
  <si>
    <t>Apex Friendship High</t>
  </si>
  <si>
    <t>920317</t>
  </si>
  <si>
    <t>Apex Friendship Middle</t>
  </si>
  <si>
    <t>920315</t>
  </si>
  <si>
    <t>Apex High</t>
  </si>
  <si>
    <t>920316</t>
  </si>
  <si>
    <t>Apex Middle</t>
  </si>
  <si>
    <t>920312</t>
  </si>
  <si>
    <t>Athens Drive High</t>
  </si>
  <si>
    <t>920318</t>
  </si>
  <si>
    <t>Aversboro Elementary</t>
  </si>
  <si>
    <t>920320</t>
  </si>
  <si>
    <t>Baileywick Road Elementary</t>
  </si>
  <si>
    <t>920326</t>
  </si>
  <si>
    <t>Ballentine Elementary</t>
  </si>
  <si>
    <t>920327</t>
  </si>
  <si>
    <t>Banks Road Elementary</t>
  </si>
  <si>
    <t>920325</t>
  </si>
  <si>
    <t>Barton Pond Elementary</t>
  </si>
  <si>
    <t>920330</t>
  </si>
  <si>
    <t>Barwell Road Elementary</t>
  </si>
  <si>
    <t>920329</t>
  </si>
  <si>
    <t>Baucom Elementary</t>
  </si>
  <si>
    <t>920328</t>
  </si>
  <si>
    <t>Beaverdam Elementary</t>
  </si>
  <si>
    <t>920332</t>
  </si>
  <si>
    <t>Bowling Road Elementary</t>
  </si>
  <si>
    <t>920333</t>
  </si>
  <si>
    <t>Brassfield Elementary</t>
  </si>
  <si>
    <t>920334</t>
  </si>
  <si>
    <t>920336</t>
  </si>
  <si>
    <t>Briarcliff Elementary</t>
  </si>
  <si>
    <t>920340</t>
  </si>
  <si>
    <t>920342</t>
  </si>
  <si>
    <t>Brooks Elementary</t>
  </si>
  <si>
    <t>920344</t>
  </si>
  <si>
    <t>Bryan Road Elementary</t>
  </si>
  <si>
    <t>920349</t>
  </si>
  <si>
    <t>Buckhorn Creek Elementary</t>
  </si>
  <si>
    <t>920351</t>
  </si>
  <si>
    <t>Bugg Elementary</t>
  </si>
  <si>
    <t>920352</t>
  </si>
  <si>
    <t>Carnage Middle</t>
  </si>
  <si>
    <t>920356</t>
  </si>
  <si>
    <t>Carpenter Elementary</t>
  </si>
  <si>
    <t>920358</t>
  </si>
  <si>
    <t>Carroll Middle</t>
  </si>
  <si>
    <t>920360</t>
  </si>
  <si>
    <t>920362</t>
  </si>
  <si>
    <t>Cary Elementary</t>
  </si>
  <si>
    <t>920364</t>
  </si>
  <si>
    <t>Cary High</t>
  </si>
  <si>
    <t>920368</t>
  </si>
  <si>
    <t>Cedar Fork Elementary</t>
  </si>
  <si>
    <t>920369</t>
  </si>
  <si>
    <t>Centennial Campus Middle</t>
  </si>
  <si>
    <t>920370</t>
  </si>
  <si>
    <t>Combs Elementary</t>
  </si>
  <si>
    <t>920376</t>
  </si>
  <si>
    <t>Conn Elementary</t>
  </si>
  <si>
    <t>920380</t>
  </si>
  <si>
    <t>Connections Academy</t>
  </si>
  <si>
    <t>920381</t>
  </si>
  <si>
    <t>Creech Road Elementary</t>
  </si>
  <si>
    <t>920384</t>
  </si>
  <si>
    <t>Crossroads FLEX</t>
  </si>
  <si>
    <t>920386</t>
  </si>
  <si>
    <t>Davis Drive Elementary</t>
  </si>
  <si>
    <t>920390</t>
  </si>
  <si>
    <t>Davis Drive Middle</t>
  </si>
  <si>
    <t>920391</t>
  </si>
  <si>
    <t>Dillard Drive Elementary</t>
  </si>
  <si>
    <t>920393</t>
  </si>
  <si>
    <t>Dillard Drive Middle</t>
  </si>
  <si>
    <t>920394</t>
  </si>
  <si>
    <t>Douglas Elementary</t>
  </si>
  <si>
    <t>920396</t>
  </si>
  <si>
    <t>Durant Road Elementary</t>
  </si>
  <si>
    <t>920398</t>
  </si>
  <si>
    <t>Durant Road Middle</t>
  </si>
  <si>
    <t>920399</t>
  </si>
  <si>
    <t>East Cary Middle</t>
  </si>
  <si>
    <t>920402</t>
  </si>
  <si>
    <t>East Garner Elementary</t>
  </si>
  <si>
    <t>920403</t>
  </si>
  <si>
    <t>East Garner Middle</t>
  </si>
  <si>
    <t>920404</t>
  </si>
  <si>
    <t>East Millbrook Middle</t>
  </si>
  <si>
    <t>920408</t>
  </si>
  <si>
    <t>East Wake High</t>
  </si>
  <si>
    <t>920411</t>
  </si>
  <si>
    <t>Enloe High</t>
  </si>
  <si>
    <t>920412</t>
  </si>
  <si>
    <t>Farmington Woods Elementary</t>
  </si>
  <si>
    <t>920414</t>
  </si>
  <si>
    <t>Felton Grove High</t>
  </si>
  <si>
    <t>920418</t>
  </si>
  <si>
    <t>Forest Pines Drive Elementary</t>
  </si>
  <si>
    <t>920417</t>
  </si>
  <si>
    <t>Forestville Road Elementary</t>
  </si>
  <si>
    <t>920413</t>
  </si>
  <si>
    <t>Fox Road Elementary</t>
  </si>
  <si>
    <t>920415</t>
  </si>
  <si>
    <t>Fuller Elementary</t>
  </si>
  <si>
    <t>920416</t>
  </si>
  <si>
    <t>Fuquay-Varina Elementary</t>
  </si>
  <si>
    <t>920420</t>
  </si>
  <si>
    <t>Fuquay-Varina High</t>
  </si>
  <si>
    <t>920428</t>
  </si>
  <si>
    <t>Fuquay-Varina Middle</t>
  </si>
  <si>
    <t>920424</t>
  </si>
  <si>
    <t>Garner High</t>
  </si>
  <si>
    <t>920436</t>
  </si>
  <si>
    <t>Green Elementary</t>
  </si>
  <si>
    <t>920440</t>
  </si>
  <si>
    <t>Green Hope Elementary</t>
  </si>
  <si>
    <t>920439</t>
  </si>
  <si>
    <t>Green Hope High</t>
  </si>
  <si>
    <t>920441</t>
  </si>
  <si>
    <t>Green Level High</t>
  </si>
  <si>
    <t>920437</t>
  </si>
  <si>
    <t>Harris Creek Elementary</t>
  </si>
  <si>
    <t>920451</t>
  </si>
  <si>
    <t>Herbert Akins Rd Elementary</t>
  </si>
  <si>
    <t>920306</t>
  </si>
  <si>
    <t>Herbert Akins Road Middle</t>
  </si>
  <si>
    <t>920435</t>
  </si>
  <si>
    <t>Heritage Elementary</t>
  </si>
  <si>
    <t>920454</t>
  </si>
  <si>
    <t>Heritage High</t>
  </si>
  <si>
    <t>920445</t>
  </si>
  <si>
    <t>920444</t>
  </si>
  <si>
    <t>Highcroft Elementary</t>
  </si>
  <si>
    <t>920443</t>
  </si>
  <si>
    <t>Hilburn Drive Academy</t>
  </si>
  <si>
    <t>920442</t>
  </si>
  <si>
    <t>Hodge Road Elementary</t>
  </si>
  <si>
    <t>920446</t>
  </si>
  <si>
    <t>Holly Grove Elementary</t>
  </si>
  <si>
    <t>920457</t>
  </si>
  <si>
    <t>Holly Grove Middle</t>
  </si>
  <si>
    <t>920458</t>
  </si>
  <si>
    <t>Holly Ridge Elementary</t>
  </si>
  <si>
    <t>920449</t>
  </si>
  <si>
    <t>Holly Ridge Middle</t>
  </si>
  <si>
    <t>920450</t>
  </si>
  <si>
    <t>Holly Springs Elementary</t>
  </si>
  <si>
    <t>920447</t>
  </si>
  <si>
    <t>Holly Springs High</t>
  </si>
  <si>
    <t>920455</t>
  </si>
  <si>
    <t>Hortons Creek Elementary</t>
  </si>
  <si>
    <t>920459</t>
  </si>
  <si>
    <t>920448</t>
  </si>
  <si>
    <t>Jeffreys Grove Elementary</t>
  </si>
  <si>
    <t>920452</t>
  </si>
  <si>
    <t>Jones Dairy Elementary</t>
  </si>
  <si>
    <t>920453</t>
  </si>
  <si>
    <t>Joyner Elementary</t>
  </si>
  <si>
    <t>920456</t>
  </si>
  <si>
    <t>Kingswood Elementary</t>
  </si>
  <si>
    <t>920460</t>
  </si>
  <si>
    <t>Knightdale Elementary</t>
  </si>
  <si>
    <t>920464</t>
  </si>
  <si>
    <t>Knightdale High</t>
  </si>
  <si>
    <t>920466</t>
  </si>
  <si>
    <t>Lacy Elementary</t>
  </si>
  <si>
    <t>920468</t>
  </si>
  <si>
    <t>Lake Myra Elementary</t>
  </si>
  <si>
    <t>920474</t>
  </si>
  <si>
    <t>Laurel Park Elementary</t>
  </si>
  <si>
    <t>920467</t>
  </si>
  <si>
    <t>Lead Mine Elementary</t>
  </si>
  <si>
    <t>920470</t>
  </si>
  <si>
    <t>Leesville Road Elementary</t>
  </si>
  <si>
    <t>920469</t>
  </si>
  <si>
    <t>Leesville Road High</t>
  </si>
  <si>
    <t>920473</t>
  </si>
  <si>
    <t>Leesville Road Middle</t>
  </si>
  <si>
    <t>920471</t>
  </si>
  <si>
    <t>Ligon Middle</t>
  </si>
  <si>
    <t>920472</t>
  </si>
  <si>
    <t>Lincoln Heights Elementary</t>
  </si>
  <si>
    <t>920476</t>
  </si>
  <si>
    <t>Lockhart Elementary</t>
  </si>
  <si>
    <t>920480</t>
  </si>
  <si>
    <t>Longview</t>
  </si>
  <si>
    <t>920324</t>
  </si>
  <si>
    <t>Lufkin Road Middle</t>
  </si>
  <si>
    <t>920484</t>
  </si>
  <si>
    <t>Lynn Road Elementary</t>
  </si>
  <si>
    <t>920488</t>
  </si>
  <si>
    <t>Martin Middle</t>
  </si>
  <si>
    <t>920492</t>
  </si>
  <si>
    <t>Middle Creek Elementary</t>
  </si>
  <si>
    <t>920494</t>
  </si>
  <si>
    <t>Middle Creek High</t>
  </si>
  <si>
    <t>920495</t>
  </si>
  <si>
    <t>Millbrook Elementary</t>
  </si>
  <si>
    <t>920496</t>
  </si>
  <si>
    <t>Millbrook High</t>
  </si>
  <si>
    <t>920500</t>
  </si>
  <si>
    <t>Mills Park Elementary</t>
  </si>
  <si>
    <t>920501</t>
  </si>
  <si>
    <t>Mills Park Middle</t>
  </si>
  <si>
    <t>920502</t>
  </si>
  <si>
    <t>Moore Square Middle</t>
  </si>
  <si>
    <t>920506</t>
  </si>
  <si>
    <t>Morrisville Elementary</t>
  </si>
  <si>
    <t>920504</t>
  </si>
  <si>
    <t>Mount Vernon</t>
  </si>
  <si>
    <t>920508</t>
  </si>
  <si>
    <t>Needham Broughton High</t>
  </si>
  <si>
    <t>920348</t>
  </si>
  <si>
    <t>Neuse River Middle</t>
  </si>
  <si>
    <t>920410</t>
  </si>
  <si>
    <t>North Forest Pines Elementary</t>
  </si>
  <si>
    <t>920514</t>
  </si>
  <si>
    <t>North Garner Middle</t>
  </si>
  <si>
    <t>920512</t>
  </si>
  <si>
    <t>North Ridge Elementary</t>
  </si>
  <si>
    <t>920516</t>
  </si>
  <si>
    <t>North Wake College and Career Academy</t>
  </si>
  <si>
    <t>920518</t>
  </si>
  <si>
    <t>920520</t>
  </si>
  <si>
    <t>920522</t>
  </si>
  <si>
    <t>Oakview Elementary</t>
  </si>
  <si>
    <t>920521</t>
  </si>
  <si>
    <t>Oberlin Middle</t>
  </si>
  <si>
    <t>920388</t>
  </si>
  <si>
    <t>Olds Elementary</t>
  </si>
  <si>
    <t>920524</t>
  </si>
  <si>
    <t>Olive Chapel Elementary</t>
  </si>
  <si>
    <t>920523</t>
  </si>
  <si>
    <t>Panther Creek High</t>
  </si>
  <si>
    <t>920526</t>
  </si>
  <si>
    <t>Parkside Elementary</t>
  </si>
  <si>
    <t>920527</t>
  </si>
  <si>
    <t>Partnership Elementary</t>
  </si>
  <si>
    <t>920525</t>
  </si>
  <si>
    <t>Penny Road Elementary</t>
  </si>
  <si>
    <t>920530</t>
  </si>
  <si>
    <t>Phillips High</t>
  </si>
  <si>
    <t>920528</t>
  </si>
  <si>
    <t>Pine Hollow Middle</t>
  </si>
  <si>
    <t>920529</t>
  </si>
  <si>
    <t>920533</t>
  </si>
  <si>
    <t>Pleasant Plains Elementary</t>
  </si>
  <si>
    <t>920537</t>
  </si>
  <si>
    <t>Pleasant Union Elementary</t>
  </si>
  <si>
    <t>920531</t>
  </si>
  <si>
    <t>Poe Elementary</t>
  </si>
  <si>
    <t>920532</t>
  </si>
  <si>
    <t>Powell Elementary</t>
  </si>
  <si>
    <t>920536</t>
  </si>
  <si>
    <t>Rand Road Elementary</t>
  </si>
  <si>
    <t>920540</t>
  </si>
  <si>
    <t>920542</t>
  </si>
  <si>
    <t>Reedy Creek Middle</t>
  </si>
  <si>
    <t>920400</t>
  </si>
  <si>
    <t>Rex Road Elementary</t>
  </si>
  <si>
    <t>920541</t>
  </si>
  <si>
    <t>Richland Creek Elementary</t>
  </si>
  <si>
    <t>920543</t>
  </si>
  <si>
    <t>River Bend Elementary</t>
  </si>
  <si>
    <t>920302</t>
  </si>
  <si>
    <t>920549</t>
  </si>
  <si>
    <t>River Oaks Middle</t>
  </si>
  <si>
    <t>920438</t>
  </si>
  <si>
    <t>Rogers Lane Elementary</t>
  </si>
  <si>
    <t>920547</t>
  </si>
  <si>
    <t>Rolesville Elementary</t>
  </si>
  <si>
    <t>920544</t>
  </si>
  <si>
    <t>Rolesville High</t>
  </si>
  <si>
    <t>920546</t>
  </si>
  <si>
    <t>Rolesville Middle</t>
  </si>
  <si>
    <t>920545</t>
  </si>
  <si>
    <t>Root Elementary</t>
  </si>
  <si>
    <t>920548</t>
  </si>
  <si>
    <t>920550</t>
  </si>
  <si>
    <t>Salem Middle</t>
  </si>
  <si>
    <t>920551</t>
  </si>
  <si>
    <t>Sanderson High</t>
  </si>
  <si>
    <t>920552</t>
  </si>
  <si>
    <t>Sanford Creek Elementary</t>
  </si>
  <si>
    <t>920554</t>
  </si>
  <si>
    <t>SCORE Academy</t>
  </si>
  <si>
    <t>920556</t>
  </si>
  <si>
    <t>Scotts Ridge Elementary</t>
  </si>
  <si>
    <t>920557</t>
  </si>
  <si>
    <t>Smith Elementary</t>
  </si>
  <si>
    <t>920560</t>
  </si>
  <si>
    <t>South Garner High</t>
  </si>
  <si>
    <t>920561</t>
  </si>
  <si>
    <t>South Lakes Elementary</t>
  </si>
  <si>
    <t>920559</t>
  </si>
  <si>
    <t>Southeast Raleigh Elementary</t>
  </si>
  <si>
    <t>920563</t>
  </si>
  <si>
    <t>Southeast Raleigh High</t>
  </si>
  <si>
    <t>920562</t>
  </si>
  <si>
    <t>Stough Elementary</t>
  </si>
  <si>
    <t>920564</t>
  </si>
  <si>
    <t>920568</t>
  </si>
  <si>
    <t>Sycamore Creek Elementary</t>
  </si>
  <si>
    <t>920569</t>
  </si>
  <si>
    <t>Timber Drive Elementary</t>
  </si>
  <si>
    <t>920570</t>
  </si>
  <si>
    <t>Turner Creek Elementary</t>
  </si>
  <si>
    <t>920571</t>
  </si>
  <si>
    <t>Underwood Elementary</t>
  </si>
  <si>
    <t>920572</t>
  </si>
  <si>
    <t>Vance Elementary</t>
  </si>
  <si>
    <t>920576</t>
  </si>
  <si>
    <t>Vandora Springs Elementary</t>
  </si>
  <si>
    <t>920580</t>
  </si>
  <si>
    <t>Vernon Malone College and Career Academy</t>
  </si>
  <si>
    <t>920581</t>
  </si>
  <si>
    <t>Wake Early College of Health and Science</t>
  </si>
  <si>
    <t>920583</t>
  </si>
  <si>
    <t>Wake EC of Information &amp; Biotechnologies</t>
  </si>
  <si>
    <t>920587</t>
  </si>
  <si>
    <t>Wake Forest Elementary</t>
  </si>
  <si>
    <t>920584</t>
  </si>
  <si>
    <t>Wake Forest High School</t>
  </si>
  <si>
    <t>920588</t>
  </si>
  <si>
    <t>Wake Forest Middle School</t>
  </si>
  <si>
    <t>920592</t>
  </si>
  <si>
    <t>Wake STEM Early College High School</t>
  </si>
  <si>
    <t>920582</t>
  </si>
  <si>
    <t>Wake Young Men's Leadership Academy</t>
  </si>
  <si>
    <t>920585</t>
  </si>
  <si>
    <t>Wake Young Women's Leadership Academy</t>
  </si>
  <si>
    <t>920586</t>
  </si>
  <si>
    <t>Wakefield Elementary</t>
  </si>
  <si>
    <t>920593</t>
  </si>
  <si>
    <t>Wakefield High</t>
  </si>
  <si>
    <t>920595</t>
  </si>
  <si>
    <t>Wakefield Middle</t>
  </si>
  <si>
    <t>920594</t>
  </si>
  <si>
    <t>Wakelon Elementary</t>
  </si>
  <si>
    <t>920597</t>
  </si>
  <si>
    <t>Walnut Creek Elementary</t>
  </si>
  <si>
    <t>920599</t>
  </si>
  <si>
    <t>920596</t>
  </si>
  <si>
    <t>Weatherstone Elementary</t>
  </si>
  <si>
    <t>920598</t>
  </si>
  <si>
    <t>Wendell Elementary</t>
  </si>
  <si>
    <t>920600</t>
  </si>
  <si>
    <t>Wendell Middle</t>
  </si>
  <si>
    <t>920601</t>
  </si>
  <si>
    <t>West Cary Middle</t>
  </si>
  <si>
    <t>920604</t>
  </si>
  <si>
    <t>West Lake Elementary</t>
  </si>
  <si>
    <t>920606</t>
  </si>
  <si>
    <t>West Lake Middle</t>
  </si>
  <si>
    <t>920607</t>
  </si>
  <si>
    <t>West Millbrook Middle</t>
  </si>
  <si>
    <t>920608</t>
  </si>
  <si>
    <t>920614</t>
  </si>
  <si>
    <t>Wilburn Elementary</t>
  </si>
  <si>
    <t>920616</t>
  </si>
  <si>
    <t>Wildwood Forest Elementary</t>
  </si>
  <si>
    <t>920618</t>
  </si>
  <si>
    <t>Wiley Elementary</t>
  </si>
  <si>
    <t>920620</t>
  </si>
  <si>
    <t>Willow Spring High</t>
  </si>
  <si>
    <t>920625</t>
  </si>
  <si>
    <t>Willow Springs Elementary</t>
  </si>
  <si>
    <t>920624</t>
  </si>
  <si>
    <t>Woods Creek Elementary</t>
  </si>
  <si>
    <t>920623</t>
  </si>
  <si>
    <t>Yates Mill Elementary</t>
  </si>
  <si>
    <t>920626</t>
  </si>
  <si>
    <t>York Elementary</t>
  </si>
  <si>
    <t>920628</t>
  </si>
  <si>
    <t>Zebulon Elementary</t>
  </si>
  <si>
    <t>920632</t>
  </si>
  <si>
    <t>Zebulon Middle</t>
  </si>
  <si>
    <t>920636</t>
  </si>
  <si>
    <t>Wake Forest Charter Academy</t>
  </si>
  <si>
    <t>92V000</t>
  </si>
  <si>
    <t>Wake Preparatory Academy</t>
  </si>
  <si>
    <t>35C000</t>
  </si>
  <si>
    <t>Warren County Schools</t>
  </si>
  <si>
    <t>930LEA</t>
  </si>
  <si>
    <t>Mariam Boyd Elementary</t>
  </si>
  <si>
    <t>930330</t>
  </si>
  <si>
    <t>930340</t>
  </si>
  <si>
    <t>Vaughan Elementary</t>
  </si>
  <si>
    <t>930348</t>
  </si>
  <si>
    <t>Warren County High</t>
  </si>
  <si>
    <t>930352</t>
  </si>
  <si>
    <t>Warren County Middle</t>
  </si>
  <si>
    <t>930354</t>
  </si>
  <si>
    <t>Warren Early College High</t>
  </si>
  <si>
    <t>930360</t>
  </si>
  <si>
    <t>Washington County Schools</t>
  </si>
  <si>
    <t>940LEA</t>
  </si>
  <si>
    <t>Washington County Elementary School</t>
  </si>
  <si>
    <t>940314</t>
  </si>
  <si>
    <t>Washington County High</t>
  </si>
  <si>
    <t>940316</t>
  </si>
  <si>
    <t>Washington Early College High</t>
  </si>
  <si>
    <t>940330</t>
  </si>
  <si>
    <t>Washington Montessori</t>
  </si>
  <si>
    <t>07A000</t>
  </si>
  <si>
    <t>Watauga County Schools</t>
  </si>
  <si>
    <t>950LEA</t>
  </si>
  <si>
    <t>950308</t>
  </si>
  <si>
    <t>Blowing Rock Elementary</t>
  </si>
  <si>
    <t>950312</t>
  </si>
  <si>
    <t>Cove Creek Elementary</t>
  </si>
  <si>
    <t>950316</t>
  </si>
  <si>
    <t>Green Valley Elementary</t>
  </si>
  <si>
    <t>950320</t>
  </si>
  <si>
    <t>Hardin Park Elementary</t>
  </si>
  <si>
    <t>950322</t>
  </si>
  <si>
    <t>Mabel Elementary</t>
  </si>
  <si>
    <t>950324</t>
  </si>
  <si>
    <t>Parkway Elementary</t>
  </si>
  <si>
    <t>950328</t>
  </si>
  <si>
    <t>Valle Crucis Elementary</t>
  </si>
  <si>
    <t>950332</t>
  </si>
  <si>
    <t>Watauga High</t>
  </si>
  <si>
    <t>950336</t>
  </si>
  <si>
    <t>Watauga Innovation Academy</t>
  </si>
  <si>
    <t>950338</t>
  </si>
  <si>
    <t>Watauga Virtual Academy</t>
  </si>
  <si>
    <t>950334</t>
  </si>
  <si>
    <t>Water's Edge Village School</t>
  </si>
  <si>
    <t>27A000</t>
  </si>
  <si>
    <t>Wayne County Public Schools</t>
  </si>
  <si>
    <t>960LEA</t>
  </si>
  <si>
    <t>960312</t>
  </si>
  <si>
    <t>Brogden Primary</t>
  </si>
  <si>
    <t>960314</t>
  </si>
  <si>
    <t>960316</t>
  </si>
  <si>
    <t>Carver Heights Elementary</t>
  </si>
  <si>
    <t>960318</t>
  </si>
  <si>
    <t>Charles B Aycock High</t>
  </si>
  <si>
    <t>960324</t>
  </si>
  <si>
    <t>Dillard Middle</t>
  </si>
  <si>
    <t>960326</t>
  </si>
  <si>
    <t>Eastern Wayne Elementary</t>
  </si>
  <si>
    <t>960329</t>
  </si>
  <si>
    <t>Eastern Wayne High</t>
  </si>
  <si>
    <t>960330</t>
  </si>
  <si>
    <t>Eastern Wayne Middle</t>
  </si>
  <si>
    <t>960331</t>
  </si>
  <si>
    <t>Edgewood Cmty Developmental</t>
  </si>
  <si>
    <t>960332</t>
  </si>
  <si>
    <t>Fremont Elementary</t>
  </si>
  <si>
    <t>960334</t>
  </si>
  <si>
    <t>Goldsboro High</t>
  </si>
  <si>
    <t>960335</t>
  </si>
  <si>
    <t>Grantham Elementary</t>
  </si>
  <si>
    <t>960336</t>
  </si>
  <si>
    <t>Grantham Middle</t>
  </si>
  <si>
    <t>960338</t>
  </si>
  <si>
    <t>Greenwood Middle</t>
  </si>
  <si>
    <t>960340</t>
  </si>
  <si>
    <t>Meadow Lane Elementary</t>
  </si>
  <si>
    <t>960344</t>
  </si>
  <si>
    <t>Mount Olive Middle</t>
  </si>
  <si>
    <t>960348</t>
  </si>
  <si>
    <t>North Drive Elementary</t>
  </si>
  <si>
    <t>960390</t>
  </si>
  <si>
    <t>960450</t>
  </si>
  <si>
    <t>960454</t>
  </si>
  <si>
    <t>Norwayne Middle</t>
  </si>
  <si>
    <t>960360</t>
  </si>
  <si>
    <t>Rosewood Elementary</t>
  </si>
  <si>
    <t>960370</t>
  </si>
  <si>
    <t>Rosewood High</t>
  </si>
  <si>
    <t>960372</t>
  </si>
  <si>
    <t>Rosewood Middle</t>
  </si>
  <si>
    <t>960374</t>
  </si>
  <si>
    <t>Southern Wayne High</t>
  </si>
  <si>
    <t>960380</t>
  </si>
  <si>
    <t>Spring Creek Elementary</t>
  </si>
  <si>
    <t>960382</t>
  </si>
  <si>
    <t>Spring Creek High</t>
  </si>
  <si>
    <t>960386</t>
  </si>
  <si>
    <t>Spring Creek Middle</t>
  </si>
  <si>
    <t>960387</t>
  </si>
  <si>
    <t>Tommy's Road Elementary</t>
  </si>
  <si>
    <t>960388</t>
  </si>
  <si>
    <t>Wayne Early / Middle College High</t>
  </si>
  <si>
    <t>960490</t>
  </si>
  <si>
    <t>Wayne Middle / High Academy</t>
  </si>
  <si>
    <t>960488</t>
  </si>
  <si>
    <t>Wayne School of Engineering</t>
  </si>
  <si>
    <t>960700</t>
  </si>
  <si>
    <t>Wayne School of Technical Arts</t>
  </si>
  <si>
    <t>960492</t>
  </si>
  <si>
    <t>Wayne Preparatory Academy</t>
  </si>
  <si>
    <t>96F000</t>
  </si>
  <si>
    <t>Wayne STEM Academy</t>
  </si>
  <si>
    <t>96G000</t>
  </si>
  <si>
    <t>Weldon City Schools</t>
  </si>
  <si>
    <t>422LEA</t>
  </si>
  <si>
    <t>Roanoke Valley Early College</t>
  </si>
  <si>
    <t>422310</t>
  </si>
  <si>
    <t>Weldon Elementary School</t>
  </si>
  <si>
    <t>422314</t>
  </si>
  <si>
    <t>Weldon High School</t>
  </si>
  <si>
    <t>422315</t>
  </si>
  <si>
    <t>Weldon Middle</t>
  </si>
  <si>
    <t>422318</t>
  </si>
  <si>
    <t>West Lake Preparatory Academy</t>
  </si>
  <si>
    <t>55B000</t>
  </si>
  <si>
    <t>Whiteville City Schools</t>
  </si>
  <si>
    <t>241LEA</t>
  </si>
  <si>
    <t>241304</t>
  </si>
  <si>
    <t>Edgewood Elementary</t>
  </si>
  <si>
    <t>241308</t>
  </si>
  <si>
    <t>North Whiteville Academy</t>
  </si>
  <si>
    <t>241312</t>
  </si>
  <si>
    <t>Whiteville High</t>
  </si>
  <si>
    <t>241316</t>
  </si>
  <si>
    <t>Whiteville Primary</t>
  </si>
  <si>
    <t>241320</t>
  </si>
  <si>
    <t>Wilkes County Schools</t>
  </si>
  <si>
    <t>970LEA</t>
  </si>
  <si>
    <t>Boomer-Ferguson Elementary School</t>
  </si>
  <si>
    <t>970308</t>
  </si>
  <si>
    <t>C B Eller Elementary School</t>
  </si>
  <si>
    <t>970310</t>
  </si>
  <si>
    <t>C C Wright Elementary School</t>
  </si>
  <si>
    <t>970312</t>
  </si>
  <si>
    <t>Central Wilkes Middle School</t>
  </si>
  <si>
    <t>970315</t>
  </si>
  <si>
    <t>East Wilkes High School</t>
  </si>
  <si>
    <t>970320</t>
  </si>
  <si>
    <t>East Wilkes Middle School</t>
  </si>
  <si>
    <t>970322</t>
  </si>
  <si>
    <t>Millers Creek Elementary School</t>
  </si>
  <si>
    <t>970337</t>
  </si>
  <si>
    <t>Moravian Falls Elementary School</t>
  </si>
  <si>
    <t>970340</t>
  </si>
  <si>
    <t>Mount Pleasant Elementary School</t>
  </si>
  <si>
    <t>970344</t>
  </si>
  <si>
    <t>Mountain View Elementary School</t>
  </si>
  <si>
    <t>970348</t>
  </si>
  <si>
    <t>Mulberry Elementary School</t>
  </si>
  <si>
    <t>970352</t>
  </si>
  <si>
    <t>North Wilkes High School</t>
  </si>
  <si>
    <t>970356</t>
  </si>
  <si>
    <t>North Wilkes Middle School</t>
  </si>
  <si>
    <t>970358</t>
  </si>
  <si>
    <t>North Wilkesboro Elementary School</t>
  </si>
  <si>
    <t>970360</t>
  </si>
  <si>
    <t>Roaring River Elementary School</t>
  </si>
  <si>
    <t>970368</t>
  </si>
  <si>
    <t>Ronda-Clingman Elementary School</t>
  </si>
  <si>
    <t>970370</t>
  </si>
  <si>
    <t>Traphill Elementary School</t>
  </si>
  <si>
    <t>970376</t>
  </si>
  <si>
    <t>West Wilkes High School</t>
  </si>
  <si>
    <t>970388</t>
  </si>
  <si>
    <t>West Wilkes Middle School</t>
  </si>
  <si>
    <t>970389</t>
  </si>
  <si>
    <t>Wilkes Central High School</t>
  </si>
  <si>
    <t>970390</t>
  </si>
  <si>
    <t>Wilkes Early College High School</t>
  </si>
  <si>
    <t>970393</t>
  </si>
  <si>
    <t>Wilkesboro Elementary School</t>
  </si>
  <si>
    <t>970392</t>
  </si>
  <si>
    <t>Willow Oak Montessori</t>
  </si>
  <si>
    <t>19C000</t>
  </si>
  <si>
    <t>Wilmington Preparatory Academy</t>
  </si>
  <si>
    <t>65B000</t>
  </si>
  <si>
    <t>Wilmington School of the Arts</t>
  </si>
  <si>
    <t>65H000</t>
  </si>
  <si>
    <t>Wilson County Schools</t>
  </si>
  <si>
    <t>980LEA</t>
  </si>
  <si>
    <t>B O Barnes Elementary</t>
  </si>
  <si>
    <t>980308</t>
  </si>
  <si>
    <t>Beddingfield High</t>
  </si>
  <si>
    <t>980318</t>
  </si>
  <si>
    <t>Charles H Darden Middle</t>
  </si>
  <si>
    <t>980317</t>
  </si>
  <si>
    <t>Elm City Middle</t>
  </si>
  <si>
    <t>980324</t>
  </si>
  <si>
    <t>Fike High</t>
  </si>
  <si>
    <t>980336</t>
  </si>
  <si>
    <t>Forest Hills Middle</t>
  </si>
  <si>
    <t>980338</t>
  </si>
  <si>
    <t>Frederick Douglass Elementary</t>
  </si>
  <si>
    <t>980320</t>
  </si>
  <si>
    <t>Gardners Elementary</t>
  </si>
  <si>
    <t>980340</t>
  </si>
  <si>
    <t>James Hunt High</t>
  </si>
  <si>
    <t>980342</t>
  </si>
  <si>
    <t>John W Jones Elementary</t>
  </si>
  <si>
    <t>980344</t>
  </si>
  <si>
    <t>Lee Woodard Elementary</t>
  </si>
  <si>
    <t>980348</t>
  </si>
  <si>
    <t>Lucama Elementary</t>
  </si>
  <si>
    <t>980352</t>
  </si>
  <si>
    <t>Margaret Hearne Elementary</t>
  </si>
  <si>
    <t>980356</t>
  </si>
  <si>
    <t>Milton M Daniels Learning Center</t>
  </si>
  <si>
    <t>980306</t>
  </si>
  <si>
    <t>980360</t>
  </si>
  <si>
    <t>Rock Ridge Elementary</t>
  </si>
  <si>
    <t>980364</t>
  </si>
  <si>
    <t>Speight Middle</t>
  </si>
  <si>
    <t>980380</t>
  </si>
  <si>
    <t>Springfield Middle</t>
  </si>
  <si>
    <t>980384</t>
  </si>
  <si>
    <t>Stantonsburg Elementary</t>
  </si>
  <si>
    <t>980388</t>
  </si>
  <si>
    <t>Vick Elementary</t>
  </si>
  <si>
    <t>980357</t>
  </si>
  <si>
    <t>Vinson-Bynum Elementary</t>
  </si>
  <si>
    <t>980392</t>
  </si>
  <si>
    <t>Wells Elementary</t>
  </si>
  <si>
    <t>980396</t>
  </si>
  <si>
    <t>Wilson Academy of Applied Technology</t>
  </si>
  <si>
    <t>980397</t>
  </si>
  <si>
    <t>Wilson Academy of Virtual Education</t>
  </si>
  <si>
    <t>980500</t>
  </si>
  <si>
    <t>Wilson Early College Academy</t>
  </si>
  <si>
    <t>980398</t>
  </si>
  <si>
    <t>Wilson Preparatory Academy</t>
  </si>
  <si>
    <t>98B000</t>
  </si>
  <si>
    <t>Wilson Preparatory Remote Academy</t>
  </si>
  <si>
    <t>98B310</t>
  </si>
  <si>
    <t>Winston Salem / Forsyth County Schools</t>
  </si>
  <si>
    <t>340LEA</t>
  </si>
  <si>
    <t>Ashley Academy</t>
  </si>
  <si>
    <t>340308</t>
  </si>
  <si>
    <t>Atkins Academic &amp; Tech High</t>
  </si>
  <si>
    <t>340311</t>
  </si>
  <si>
    <t>Bolton Elementary</t>
  </si>
  <si>
    <t>340314</t>
  </si>
  <si>
    <t>Brunson Elementary</t>
  </si>
  <si>
    <t>340320</t>
  </si>
  <si>
    <t>Caleb's Creek Elementary</t>
  </si>
  <si>
    <t>340326</t>
  </si>
  <si>
    <t>Carter High School</t>
  </si>
  <si>
    <t>340336</t>
  </si>
  <si>
    <t>Carver High</t>
  </si>
  <si>
    <t>340330</t>
  </si>
  <si>
    <t>Cash Elementary</t>
  </si>
  <si>
    <t>340334</t>
  </si>
  <si>
    <t>Childrens Center</t>
  </si>
  <si>
    <t>340344</t>
  </si>
  <si>
    <t>Clemmons Elementary</t>
  </si>
  <si>
    <t>340348</t>
  </si>
  <si>
    <t>Clemmons Middle School</t>
  </si>
  <si>
    <t>340350</t>
  </si>
  <si>
    <t>Cook Literacy Model School</t>
  </si>
  <si>
    <t>340351</t>
  </si>
  <si>
    <t>Diggs-Latham Elementary</t>
  </si>
  <si>
    <t>340430</t>
  </si>
  <si>
    <t>Early College of Forsyth Co</t>
  </si>
  <si>
    <t>340362</t>
  </si>
  <si>
    <t>East Forsyth High</t>
  </si>
  <si>
    <t>340364</t>
  </si>
  <si>
    <t>East Forsyth Middle School</t>
  </si>
  <si>
    <t>340366</t>
  </si>
  <si>
    <t>Easton Elementary School</t>
  </si>
  <si>
    <t>340368</t>
  </si>
  <si>
    <t>340372</t>
  </si>
  <si>
    <t>340376</t>
  </si>
  <si>
    <t>Frank Morgan Elementary</t>
  </si>
  <si>
    <t>340457</t>
  </si>
  <si>
    <t>Gibson Elementary</t>
  </si>
  <si>
    <t>340380</t>
  </si>
  <si>
    <t>Griffith Elementary</t>
  </si>
  <si>
    <t>340384</t>
  </si>
  <si>
    <t>Hall-Woodward Elementary</t>
  </si>
  <si>
    <t>340390</t>
  </si>
  <si>
    <t>Hanes Magnet School</t>
  </si>
  <si>
    <t>340392</t>
  </si>
  <si>
    <t>Ibraham Elementary</t>
  </si>
  <si>
    <t>340400</t>
  </si>
  <si>
    <t>J F Kennedy High</t>
  </si>
  <si>
    <t>340488</t>
  </si>
  <si>
    <t>340403</t>
  </si>
  <si>
    <t>Kernersville Elementary</t>
  </si>
  <si>
    <t>340416</t>
  </si>
  <si>
    <t>Kernersville Middle</t>
  </si>
  <si>
    <t>340420</t>
  </si>
  <si>
    <t>Kimberley Park Elementary</t>
  </si>
  <si>
    <t>340424</t>
  </si>
  <si>
    <t>Kimmel Farm Elementary</t>
  </si>
  <si>
    <t>340426</t>
  </si>
  <si>
    <t>Kingswood School</t>
  </si>
  <si>
    <t>340427</t>
  </si>
  <si>
    <t>Konnoak Elementary</t>
  </si>
  <si>
    <t>340428</t>
  </si>
  <si>
    <t>Konnoak Middle School</t>
  </si>
  <si>
    <t>340492</t>
  </si>
  <si>
    <t>Lewisville Elementary</t>
  </si>
  <si>
    <t>340432</t>
  </si>
  <si>
    <t>Lewisville Middle</t>
  </si>
  <si>
    <t>340434</t>
  </si>
  <si>
    <t>Lowrance Middle</t>
  </si>
  <si>
    <t>340436</t>
  </si>
  <si>
    <t>Main Street Academy</t>
  </si>
  <si>
    <t>340385</t>
  </si>
  <si>
    <t>Meadowlark Elementary</t>
  </si>
  <si>
    <t>340440</t>
  </si>
  <si>
    <t>Meadowlark Middle</t>
  </si>
  <si>
    <t>340442</t>
  </si>
  <si>
    <t>Middle College of Forsyth Cnty</t>
  </si>
  <si>
    <t>340446</t>
  </si>
  <si>
    <t>340448</t>
  </si>
  <si>
    <t>Mineral Springs Middle</t>
  </si>
  <si>
    <t>340452</t>
  </si>
  <si>
    <t>Moore Magnet Elementary</t>
  </si>
  <si>
    <t>340453</t>
  </si>
  <si>
    <t>Mount Tabor High School</t>
  </si>
  <si>
    <t>340454</t>
  </si>
  <si>
    <t>North Forsyth Magnet High</t>
  </si>
  <si>
    <t>340460</t>
  </si>
  <si>
    <t>North Hills Elementary</t>
  </si>
  <si>
    <t>340462</t>
  </si>
  <si>
    <t>Northwest Middle</t>
  </si>
  <si>
    <t>340464</t>
  </si>
  <si>
    <t>Old Richmond Elementary</t>
  </si>
  <si>
    <t>340472</t>
  </si>
  <si>
    <t>Old Town Elementary</t>
  </si>
  <si>
    <t>340476</t>
  </si>
  <si>
    <t>Paisley Magnet School</t>
  </si>
  <si>
    <t>340480</t>
  </si>
  <si>
    <t>Parkland High</t>
  </si>
  <si>
    <t>340486</t>
  </si>
  <si>
    <t>Petree Elementary</t>
  </si>
  <si>
    <t>340490</t>
  </si>
  <si>
    <t>340494</t>
  </si>
  <si>
    <t>R J Reynolds High</t>
  </si>
  <si>
    <t>340496</t>
  </si>
  <si>
    <t>Robert B Glenn High School</t>
  </si>
  <si>
    <t>340382</t>
  </si>
  <si>
    <t>Ronald W Reagan High School</t>
  </si>
  <si>
    <t>340495</t>
  </si>
  <si>
    <t>Rural Hall Elementary</t>
  </si>
  <si>
    <t>340504</t>
  </si>
  <si>
    <t>Sedge Garden Elementary</t>
  </si>
  <si>
    <t>340508</t>
  </si>
  <si>
    <t>Sherwood Forest Elementary</t>
  </si>
  <si>
    <t>340512</t>
  </si>
  <si>
    <t>Smith Farm Elementary</t>
  </si>
  <si>
    <t>340514</t>
  </si>
  <si>
    <t>South Fork Elementary</t>
  </si>
  <si>
    <t>340520</t>
  </si>
  <si>
    <t>340516</t>
  </si>
  <si>
    <t>340528</t>
  </si>
  <si>
    <t>Speas Elementary</t>
  </si>
  <si>
    <t>340530</t>
  </si>
  <si>
    <t>The Downtown School</t>
  </si>
  <si>
    <t>340354</t>
  </si>
  <si>
    <t>The Special Children's School</t>
  </si>
  <si>
    <t>340531</t>
  </si>
  <si>
    <t>Thomas Jefferson Middle</t>
  </si>
  <si>
    <t>340406</t>
  </si>
  <si>
    <t>Union Cross Traditional Acad</t>
  </si>
  <si>
    <t>340532</t>
  </si>
  <si>
    <t>Vienna Elementary</t>
  </si>
  <si>
    <t>340536</t>
  </si>
  <si>
    <t>Walkertown Elementary</t>
  </si>
  <si>
    <t>340540</t>
  </si>
  <si>
    <t>Walkertown High</t>
  </si>
  <si>
    <t>340542</t>
  </si>
  <si>
    <t>Walkertown Middle</t>
  </si>
  <si>
    <t>340544</t>
  </si>
  <si>
    <t>Ward Elementary</t>
  </si>
  <si>
    <t>340548</t>
  </si>
  <si>
    <t>West Forsyth High</t>
  </si>
  <si>
    <t>340556</t>
  </si>
  <si>
    <t>Whitaker Elementary</t>
  </si>
  <si>
    <t>340560</t>
  </si>
  <si>
    <t>Wiley Magnet Middle</t>
  </si>
  <si>
    <t>340564</t>
  </si>
  <si>
    <t>Winston-Salem Preparatory Acad</t>
  </si>
  <si>
    <t>340568</t>
  </si>
  <si>
    <t>Winterville Charter Academy</t>
  </si>
  <si>
    <t>74C000</t>
  </si>
  <si>
    <t>Woods Charter</t>
  </si>
  <si>
    <t>19B000</t>
  </si>
  <si>
    <t>Yadkin County Schools</t>
  </si>
  <si>
    <t>990LEA</t>
  </si>
  <si>
    <t>Boonville Elementary</t>
  </si>
  <si>
    <t>990304</t>
  </si>
  <si>
    <t>Courtney Elementary</t>
  </si>
  <si>
    <t>990308</t>
  </si>
  <si>
    <t>East Bend Elementary</t>
  </si>
  <si>
    <t>990312</t>
  </si>
  <si>
    <t>Fall Creek Elementary</t>
  </si>
  <si>
    <t>990316</t>
  </si>
  <si>
    <t>Forbush Elementary</t>
  </si>
  <si>
    <t>990320</t>
  </si>
  <si>
    <t>Forbush High</t>
  </si>
  <si>
    <t>990322</t>
  </si>
  <si>
    <t>Forbush Middle</t>
  </si>
  <si>
    <t>990321</t>
  </si>
  <si>
    <t>Jonesville Elementary</t>
  </si>
  <si>
    <t>990324</t>
  </si>
  <si>
    <t>Starmount High</t>
  </si>
  <si>
    <t>990326</t>
  </si>
  <si>
    <t>Starmount Middle</t>
  </si>
  <si>
    <t>990325</t>
  </si>
  <si>
    <t>West Yadkin Elementary</t>
  </si>
  <si>
    <t>990328</t>
  </si>
  <si>
    <t>Yadkin Early College</t>
  </si>
  <si>
    <t>990332</t>
  </si>
  <si>
    <t>Yadkin Success Academy</t>
  </si>
  <si>
    <t>990340</t>
  </si>
  <si>
    <t>Yadkinville Elementary</t>
  </si>
  <si>
    <t>990336</t>
  </si>
  <si>
    <t>Yancey County Schools</t>
  </si>
  <si>
    <t>995LEA</t>
  </si>
  <si>
    <t>995310</t>
  </si>
  <si>
    <t>Burnsville Elementary</t>
  </si>
  <si>
    <t>995312</t>
  </si>
  <si>
    <t>Cane River Middle</t>
  </si>
  <si>
    <t>995316</t>
  </si>
  <si>
    <t>East Yancey Middle</t>
  </si>
  <si>
    <t>995324</t>
  </si>
  <si>
    <t>Mountain Heritage High</t>
  </si>
  <si>
    <t>995330</t>
  </si>
  <si>
    <t>South Toe Elementary</t>
  </si>
  <si>
    <t>995336</t>
  </si>
  <si>
    <t>Youngsville Academy</t>
  </si>
  <si>
    <t>35B000</t>
  </si>
  <si>
    <t>Z.E.C.A. School of Arts and Technology</t>
  </si>
  <si>
    <t>67B000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</si>
</sst>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quot;%&quot;"/>
  </numFmts>
  <fonts count="11">
    <font>
      <sz val="11"/>
      <name val="Carlito"/>
    </font>
    <font>
      <b/>
      <sz val="18"/>
      <color rgb="FFFFFFFF"/>
      <name val="Arial"/>
      <family val="2"/>
    </font>
    <font>
      <sz val="10"/>
      <name val="Arial"/>
      <family val="2"/>
    </font>
    <font>
      <b/>
      <sz val="10"/>
      <color rgb="FFFFFFFF"/>
      <name val="Arial"/>
      <family val="2"/>
    </font>
    <font>
      <i/>
      <sz val="9"/>
      <color rgb="FF444444"/>
      <name val="Arial"/>
      <family val="2"/>
    </font>
    <font>
      <b/>
      <sz val="11"/>
      <color rgb="FFFFFFFF"/>
      <name val="Carlito"/>
    </font>
    <font>
      <sz val="10"/>
      <name val="Arial"/>
      <family val="2"/>
    </font>
    <font>
      <b/>
      <sz val="10"/>
      <name val="Arial"/>
      <family val="2"/>
    </font>
    <font>
      <b/>
      <sz val="10"/>
      <color rgb="FFFFFFFF"/>
      <name val="Arial"/>
      <family val="2"/>
    </font>
    <font>
      <b/>
      <sz val="10"/>
      <color rgb="FFFF0000"/>
      <name val="Arial"/>
      <family val="2"/>
    </font>
    <font>
      <i/>
      <sz val="10"/>
      <name val="Arial"/>
      <family val="2"/>
    </font>
  </fonts>
  <fills count="7">
    <fill>
      <patternFill patternType="none"/>
    </fill>
    <fill>
      <patternFill patternType="gray125"/>
    </fill>
    <fill>
      <patternFill patternType="solid">
        <fgColor rgb="FFD9EAF7"/>
      </patternFill>
    </fill>
    <fill>
      <patternFill patternType="solid">
        <fgColor rgb="FFEEF5FA"/>
      </patternFill>
    </fill>
    <fill>
      <patternFill patternType="solid">
        <fgColor rgb="FF1F4E78"/>
      </patternFill>
    </fill>
    <fill>
      <patternFill patternType="solid">
        <fgColor rgb="FFEAF3F8"/>
      </patternFill>
    </fill>
    <fill>
      <patternFill patternType="solid">
        <fgColor rgb="FFFFF2CC"/>
      </patternFill>
    </fill>
  </fills>
  <borders count="2">
    <border>
      <left/>
      <right/>
      <top/>
      <bottom/>
      <diagonal/>
    </border>
    <border>
      <left style="thin">
        <color rgb="FFB7C9D6"/>
      </left>
      <right style="thin">
        <color rgb="FFB7C9D6"/>
      </right>
      <top style="thin">
        <color rgb="FFB7C9D6"/>
      </top>
      <bottom style="thin">
        <color rgb="FFB7C9D6"/>
      </bottom>
      <diagonal/>
    </border>
  </borders>
  <cellStyleXfs count="1">
    <xf numFmtId="0" fontId="0" fillId="0" borderId="0"/>
  </cellStyleXfs>
  <cellXfs count="30">
    <xf numFmtId="0" fontId="0" fillId="0" borderId="0" xfId="0"/>
    <xf numFmtId="0" fontId="2" fillId="0" borderId="0" xfId="0" applyFont="1" applyAlignment="1">
      <alignment vertical="center"/>
    </xf>
    <xf numFmtId="1" fontId="2" fillId="0" borderId="0" xfId="0" applyNumberFormat="1" applyFont="1" applyAlignment="1">
      <alignment vertical="center"/>
    </xf>
    <xf numFmtId="164" fontId="2" fillId="0" borderId="0" xfId="0" applyNumberFormat="1" applyFont="1" applyAlignment="1">
      <alignment vertical="center"/>
    </xf>
    <xf numFmtId="0" fontId="2" fillId="3" borderId="0" xfId="0" applyFont="1" applyFill="1" applyAlignment="1">
      <alignment horizontal="center" vertical="center"/>
    </xf>
    <xf numFmtId="0" fontId="2" fillId="5" borderId="1" xfId="0" applyFont="1" applyFill="1" applyBorder="1" applyAlignment="1">
      <alignment vertical="center"/>
    </xf>
    <xf numFmtId="1" fontId="2" fillId="6" borderId="1" xfId="0" applyNumberFormat="1" applyFont="1" applyFill="1" applyBorder="1" applyAlignment="1">
      <alignment vertical="center"/>
    </xf>
    <xf numFmtId="1" fontId="2" fillId="5" borderId="1" xfId="0" applyNumberFormat="1" applyFont="1" applyFill="1" applyBorder="1" applyAlignment="1">
      <alignment vertical="center"/>
    </xf>
    <xf numFmtId="164" fontId="0" fillId="5" borderId="1" xfId="0" applyNumberFormat="1" applyFill="1" applyBorder="1"/>
    <xf numFmtId="0" fontId="5" fillId="4" borderId="1" xfId="0" applyFont="1" applyFill="1" applyBorder="1" applyAlignment="1">
      <alignment horizontal="center" vertical="center" wrapText="1"/>
    </xf>
    <xf numFmtId="0" fontId="8" fillId="4" borderId="0" xfId="0" applyFont="1" applyFill="1" applyAlignment="1">
      <alignment horizontal="center" vertical="center" wrapText="1"/>
    </xf>
    <xf numFmtId="0" fontId="3" fillId="4" borderId="0" xfId="0" applyFont="1" applyFill="1" applyAlignment="1">
      <alignment horizontal="center" vertical="center" wrapText="1"/>
    </xf>
    <xf numFmtId="0" fontId="3" fillId="4" borderId="0" xfId="0" applyFont="1" applyFill="1" applyAlignment="1">
      <alignment vertical="center" wrapText="1"/>
    </xf>
    <xf numFmtId="0" fontId="2" fillId="6" borderId="0" xfId="0" applyFont="1" applyFill="1" applyAlignment="1">
      <alignment horizontal="center" vertical="center"/>
    </xf>
    <xf numFmtId="0" fontId="6" fillId="6" borderId="0" xfId="0" applyFont="1" applyFill="1" applyAlignment="1">
      <alignment horizontal="center" vertical="center"/>
    </xf>
    <xf numFmtId="0" fontId="7" fillId="2" borderId="0" xfId="0" applyFont="1" applyFill="1" applyAlignment="1">
      <alignment wrapText="1"/>
    </xf>
    <xf numFmtId="0" fontId="3" fillId="4" borderId="1" xfId="0" applyFont="1" applyFill="1" applyBorder="1" applyAlignment="1">
      <alignment horizontal="center" vertical="center" wrapText="1"/>
    </xf>
    <xf numFmtId="0" fontId="2" fillId="6" borderId="1" xfId="0" applyFont="1" applyFill="1" applyBorder="1" applyAlignment="1">
      <alignment vertical="center"/>
    </xf>
    <xf numFmtId="0" fontId="1" fillId="4" borderId="0" xfId="0" applyFont="1" applyFill="1" applyAlignment="1">
      <alignment wrapText="1"/>
    </xf>
    <xf numFmtId="0" fontId="0" fillId="0" borderId="0" xfId="0" applyAlignment="1">
      <alignment wrapText="1"/>
    </xf>
    <xf numFmtId="0" fontId="6" fillId="3" borderId="0" xfId="0" applyFont="1" applyFill="1" applyAlignment="1">
      <alignment vertical="center" wrapText="1"/>
    </xf>
    <xf numFmtId="0" fontId="2" fillId="3" borderId="0" xfId="0" applyFont="1" applyFill="1" applyAlignment="1">
      <alignment vertical="center" wrapText="1"/>
    </xf>
    <xf numFmtId="0" fontId="0" fillId="0" borderId="0" xfId="0" applyAlignment="1">
      <alignment vertical="center" wrapText="1"/>
    </xf>
    <xf numFmtId="0" fontId="4" fillId="0" borderId="0" xfId="0" applyFont="1" applyAlignment="1">
      <alignment wrapText="1"/>
    </xf>
    <xf numFmtId="0" fontId="7" fillId="2" borderId="0" xfId="0" applyFont="1" applyFill="1" applyAlignment="1">
      <alignment horizontal="center" wrapText="1"/>
    </xf>
    <xf numFmtId="0" fontId="7" fillId="2" borderId="0" xfId="0" applyFont="1" applyFill="1" applyAlignment="1">
      <alignment wrapText="1"/>
    </xf>
    <xf numFmtId="0" fontId="3" fillId="4" borderId="1" xfId="0" applyFont="1" applyFill="1" applyBorder="1" applyAlignment="1">
      <alignment horizontal="center" vertical="center" wrapText="1"/>
    </xf>
    <xf numFmtId="0" fontId="2" fillId="6" borderId="1" xfId="0" applyFont="1" applyFill="1" applyBorder="1" applyAlignment="1">
      <alignment vertical="center"/>
    </xf>
    <xf numFmtId="0" fontId="1" fillId="4" borderId="0" xfId="0" applyFont="1" applyFill="1"/>
    <xf numFmtId="0" fontId="6" fillId="3"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DSLookupTable" displayName="EDSLookupTable" ref="A5:H2819" totalsRowShown="0">
  <autoFilter ref="A5:H2819" xr:uid="{00000000-0009-0000-0100-000001000000}"/>
  <tableColumns count="8">
    <tableColumn id="1" xr3:uid="{00000000-0010-0000-0000-000001000000}" name="Participating?"/>
    <tableColumn id="2" xr3:uid="{00000000-0010-0000-0000-000002000000}" name="District"/>
    <tableColumn id="3" xr3:uid="{00000000-0010-0000-0000-000003000000}" name="Record Type"/>
    <tableColumn id="4" xr3:uid="{00000000-0010-0000-0000-000004000000}" name="School"/>
    <tableColumn id="5" xr3:uid="{00000000-0010-0000-0000-000005000000}" name="School Code"/>
    <tableColumn id="6" xr3:uid="{00000000-0010-0000-0000-000006000000}" name="Enrollment"/>
    <tableColumn id="7" xr3:uid="{00000000-0010-0000-0000-000007000000}" name="EDS Percentage"/>
    <tableColumn id="8" xr3:uid="{00000000-0010-0000-0000-000008000000}" name="Selection Order"/>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22"/>
  <sheetViews>
    <sheetView tabSelected="1" zoomScale="85" zoomScaleNormal="85" workbookViewId="0">
      <selection activeCell="I2" sqref="I2"/>
    </sheetView>
  </sheetViews>
  <sheetFormatPr defaultRowHeight="13.8"/>
  <cols>
    <col min="1" max="1" width="31" customWidth="1"/>
    <col min="2" max="2" width="27" customWidth="1"/>
    <col min="3" max="3" width="17" customWidth="1"/>
    <col min="4" max="4" width="15" customWidth="1"/>
    <col min="5" max="5" width="13" customWidth="1"/>
    <col min="6" max="6" width="24" customWidth="1"/>
    <col min="7" max="8" width="18" hidden="1" customWidth="1"/>
  </cols>
  <sheetData>
    <row r="1" spans="1:6" ht="31.95" customHeight="1">
      <c r="A1" s="18" t="s">
        <v>0</v>
      </c>
      <c r="B1" s="18"/>
      <c r="C1" s="18"/>
      <c r="D1" s="18"/>
      <c r="E1" s="18"/>
      <c r="F1" s="19"/>
    </row>
    <row r="2" spans="1:6" ht="244.95" customHeight="1">
      <c r="A2" s="20" t="s">
        <v>1</v>
      </c>
      <c r="B2" s="21"/>
      <c r="C2" s="21"/>
      <c r="D2" s="21"/>
      <c r="E2" s="21"/>
      <c r="F2" s="22"/>
    </row>
    <row r="3" spans="1:6" ht="30" customHeight="1">
      <c r="A3" s="23"/>
      <c r="B3" s="23"/>
      <c r="C3" s="23"/>
      <c r="D3" s="23"/>
      <c r="E3" s="23"/>
      <c r="F3" s="19"/>
    </row>
    <row r="4" spans="1:6" ht="25.95" customHeight="1">
      <c r="A4" s="15" t="s">
        <v>2</v>
      </c>
      <c r="B4" s="24">
        <f>COUNTIFS('EDS Lookup'!$A$6:$A$2819,"Yes",'EDS Lookup'!$C$6:$C$2819,"School")</f>
        <v>0</v>
      </c>
      <c r="C4" s="24"/>
      <c r="D4" s="24"/>
      <c r="E4" s="24"/>
    </row>
    <row r="5" spans="1:6" ht="25.95" customHeight="1">
      <c r="A5" s="15" t="s">
        <v>3</v>
      </c>
      <c r="B5" s="24">
        <f>SUMIFS('EDS Lookup'!$F$6:$F$2819,'EDS Lookup'!$A$6:$A$2819,"Yes",'EDS Lookup'!$C$6:$C$2819,"School")</f>
        <v>0</v>
      </c>
      <c r="C5" s="24"/>
      <c r="D5" s="24"/>
      <c r="E5" s="24"/>
    </row>
    <row r="6" spans="1:6" ht="31.95" customHeight="1">
      <c r="A6" s="15" t="s">
        <v>4</v>
      </c>
      <c r="B6" s="24" t="str">
        <f>IFERROR(AVERAGE(H24:H2722),"")</f>
        <v/>
      </c>
      <c r="C6" s="24"/>
      <c r="D6" s="24"/>
      <c r="E6" s="24"/>
    </row>
    <row r="8" spans="1:6" ht="40.200000000000003" customHeight="1">
      <c r="A8" s="23" t="s">
        <v>5</v>
      </c>
      <c r="B8" s="23"/>
      <c r="C8" s="23"/>
      <c r="D8" s="23"/>
      <c r="E8" s="23"/>
      <c r="F8" s="23"/>
    </row>
    <row r="9" spans="1:6">
      <c r="A9" s="25" t="s">
        <v>6</v>
      </c>
      <c r="B9" s="25"/>
      <c r="C9" s="25"/>
      <c r="D9" s="25"/>
      <c r="E9" s="25"/>
      <c r="F9" s="25"/>
    </row>
    <row r="10" spans="1:6" ht="30" customHeight="1">
      <c r="A10" s="26" t="s">
        <v>7</v>
      </c>
      <c r="B10" s="26"/>
      <c r="C10" s="26" t="s">
        <v>8</v>
      </c>
      <c r="D10" s="26"/>
      <c r="E10" s="26" t="s">
        <v>9</v>
      </c>
      <c r="F10" s="26"/>
    </row>
    <row r="11" spans="1:6" ht="22.2" customHeight="1">
      <c r="A11" s="27"/>
      <c r="B11" s="27"/>
      <c r="C11" s="27"/>
      <c r="D11" s="27"/>
      <c r="E11" s="27"/>
      <c r="F11" s="27"/>
    </row>
    <row r="12" spans="1:6" ht="22.2" customHeight="1">
      <c r="A12" s="27"/>
      <c r="B12" s="27"/>
      <c r="C12" s="27"/>
      <c r="D12" s="27"/>
      <c r="E12" s="27"/>
      <c r="F12" s="27"/>
    </row>
    <row r="13" spans="1:6" ht="22.2" customHeight="1">
      <c r="A13" s="27"/>
      <c r="B13" s="27"/>
      <c r="C13" s="27"/>
      <c r="D13" s="27"/>
      <c r="E13" s="27"/>
      <c r="F13" s="27"/>
    </row>
    <row r="14" spans="1:6" ht="22.2" customHeight="1">
      <c r="A14" s="27"/>
      <c r="B14" s="27"/>
      <c r="C14" s="27"/>
      <c r="D14" s="27"/>
      <c r="E14" s="27"/>
      <c r="F14" s="27"/>
    </row>
    <row r="15" spans="1:6" ht="22.2" customHeight="1">
      <c r="A15" s="27"/>
      <c r="B15" s="27"/>
      <c r="C15" s="27"/>
      <c r="D15" s="27"/>
      <c r="E15" s="27"/>
      <c r="F15" s="27"/>
    </row>
    <row r="16" spans="1:6" ht="22.2" customHeight="1">
      <c r="A16" s="27"/>
      <c r="B16" s="27"/>
      <c r="C16" s="27"/>
      <c r="D16" s="27"/>
      <c r="E16" s="27"/>
      <c r="F16" s="27"/>
    </row>
    <row r="17" spans="1:8" ht="22.2" customHeight="1">
      <c r="A17" s="27"/>
      <c r="B17" s="27"/>
      <c r="C17" s="27"/>
      <c r="D17" s="27"/>
      <c r="E17" s="27"/>
      <c r="F17" s="27"/>
    </row>
    <row r="18" spans="1:8" ht="22.2" customHeight="1">
      <c r="A18" s="27"/>
      <c r="B18" s="27"/>
      <c r="C18" s="27"/>
      <c r="D18" s="27"/>
      <c r="E18" s="27"/>
      <c r="F18" s="27"/>
    </row>
    <row r="19" spans="1:8" ht="22.2" customHeight="1">
      <c r="A19" s="27"/>
      <c r="B19" s="27"/>
      <c r="C19" s="27"/>
      <c r="D19" s="27"/>
      <c r="E19" s="27"/>
      <c r="F19" s="27"/>
    </row>
    <row r="20" spans="1:8" ht="22.2" customHeight="1">
      <c r="A20" s="27"/>
      <c r="B20" s="27"/>
      <c r="C20" s="27"/>
      <c r="D20" s="27"/>
      <c r="E20" s="27"/>
      <c r="F20" s="27"/>
    </row>
    <row r="21" spans="1:8" ht="36" customHeight="1">
      <c r="A21" s="23" t="s">
        <v>10</v>
      </c>
      <c r="B21" s="23"/>
      <c r="C21" s="23"/>
      <c r="D21" s="23"/>
      <c r="E21" s="23"/>
      <c r="F21" s="23"/>
    </row>
    <row r="22" spans="1:8" ht="19.95" customHeight="1"/>
    <row r="23" spans="1:8" ht="66.599999999999994" customHeight="1">
      <c r="A23" s="16" t="s">
        <v>11</v>
      </c>
      <c r="B23" s="16" t="s">
        <v>12</v>
      </c>
      <c r="C23" s="16" t="s">
        <v>13</v>
      </c>
      <c r="D23" s="16" t="s">
        <v>14</v>
      </c>
      <c r="E23" s="16" t="s">
        <v>15</v>
      </c>
      <c r="F23" s="9" t="s">
        <v>16</v>
      </c>
      <c r="G23" t="s">
        <v>17</v>
      </c>
      <c r="H23" t="s">
        <v>18</v>
      </c>
    </row>
    <row r="24" spans="1:8" ht="19.95" customHeight="1">
      <c r="A24" s="5" t="str">
        <f>IF($G24="","",INDEX('EDS Lookup'!$D$6:$D$2819,$G24))</f>
        <v/>
      </c>
      <c r="B24" s="5" t="str">
        <f>IF($G24="","",INDEX('EDS Lookup'!$B$6:$B$2819,$G24))</f>
        <v/>
      </c>
      <c r="C24" s="17"/>
      <c r="D24" s="6"/>
      <c r="E24" s="7" t="str">
        <f>IF($G24="","",INDEX('EDS Lookup'!$F$6:$F$2819,$G24))</f>
        <v/>
      </c>
      <c r="F24" s="8" t="str">
        <f>IF($G24="","",INDEX('EDS Lookup'!$G$6:$G$2819,$G24))</f>
        <v/>
      </c>
      <c r="G24" t="str">
        <f>IF(1&lt;=$B$4,IFERROR(MATCH(1,'EDS Lookup'!$H$6:$H$2819,0),""),"")</f>
        <v/>
      </c>
      <c r="H24" t="str">
        <f t="shared" ref="H24:H87" si="0">IF(F24="&lt;5",5,IF(F24="&gt;95",95,IF(ISNUMBER(F24),F24,"")))</f>
        <v/>
      </c>
    </row>
    <row r="25" spans="1:8" ht="19.95" customHeight="1">
      <c r="A25" s="5" t="str">
        <f>IF($G25="","",INDEX('EDS Lookup'!$D$6:$D$2819,$G25))</f>
        <v/>
      </c>
      <c r="B25" s="5" t="str">
        <f>IF($G25="","",INDEX('EDS Lookup'!$B$6:$B$2819,$G25))</f>
        <v/>
      </c>
      <c r="C25" s="17"/>
      <c r="D25" s="6"/>
      <c r="E25" s="7" t="str">
        <f>IF($G25="","",INDEX('EDS Lookup'!$F$6:$F$2819,$G25))</f>
        <v/>
      </c>
      <c r="F25" s="8" t="str">
        <f>IF($G25="","",INDEX('EDS Lookup'!$G$6:$G$2819,$G25))</f>
        <v/>
      </c>
      <c r="G25" t="str">
        <f>IF(2&lt;=$B$4,IFERROR(MATCH(2,'EDS Lookup'!$H$6:$H$2819,0),""),"")</f>
        <v/>
      </c>
      <c r="H25" t="str">
        <f t="shared" si="0"/>
        <v/>
      </c>
    </row>
    <row r="26" spans="1:8" ht="19.95" customHeight="1">
      <c r="A26" s="5" t="str">
        <f>IF($G26="","",INDEX('EDS Lookup'!$D$6:$D$2819,$G26))</f>
        <v/>
      </c>
      <c r="B26" s="5" t="str">
        <f>IF($G26="","",INDEX('EDS Lookup'!$B$6:$B$2819,$G26))</f>
        <v/>
      </c>
      <c r="C26" s="17"/>
      <c r="D26" s="6"/>
      <c r="E26" s="7" t="str">
        <f>IF($G26="","",INDEX('EDS Lookup'!$F$6:$F$2819,$G26))</f>
        <v/>
      </c>
      <c r="F26" s="8" t="str">
        <f>IF($G26="","",INDEX('EDS Lookup'!$G$6:$G$2819,$G26))</f>
        <v/>
      </c>
      <c r="G26" t="str">
        <f>IF(3&lt;=$B$4,IFERROR(MATCH(3,'EDS Lookup'!$H$6:$H$2819,0),""),"")</f>
        <v/>
      </c>
      <c r="H26" t="str">
        <f t="shared" si="0"/>
        <v/>
      </c>
    </row>
    <row r="27" spans="1:8" ht="19.95" customHeight="1">
      <c r="A27" s="5" t="str">
        <f>IF($G27="","",INDEX('EDS Lookup'!$D$6:$D$2819,$G27))</f>
        <v/>
      </c>
      <c r="B27" s="5" t="str">
        <f>IF($G27="","",INDEX('EDS Lookup'!$B$6:$B$2819,$G27))</f>
        <v/>
      </c>
      <c r="C27" s="17"/>
      <c r="D27" s="6"/>
      <c r="E27" s="7" t="str">
        <f>IF($G27="","",INDEX('EDS Lookup'!$F$6:$F$2819,$G27))</f>
        <v/>
      </c>
      <c r="F27" s="8" t="str">
        <f>IF($G27="","",INDEX('EDS Lookup'!$G$6:$G$2819,$G27))</f>
        <v/>
      </c>
      <c r="G27" t="str">
        <f>IF(4&lt;=$B$4,IFERROR(MATCH(4,'EDS Lookup'!$H$6:$H$2819,0),""),"")</f>
        <v/>
      </c>
      <c r="H27" t="str">
        <f t="shared" si="0"/>
        <v/>
      </c>
    </row>
    <row r="28" spans="1:8" ht="19.95" customHeight="1">
      <c r="A28" s="5" t="str">
        <f>IF($G28="","",INDEX('EDS Lookup'!$D$6:$D$2819,$G28))</f>
        <v/>
      </c>
      <c r="B28" s="5" t="str">
        <f>IF($G28="","",INDEX('EDS Lookup'!$B$6:$B$2819,$G28))</f>
        <v/>
      </c>
      <c r="C28" s="17"/>
      <c r="D28" s="6"/>
      <c r="E28" s="7" t="str">
        <f>IF($G28="","",INDEX('EDS Lookup'!$F$6:$F$2819,$G28))</f>
        <v/>
      </c>
      <c r="F28" s="8" t="str">
        <f>IF($G28="","",INDEX('EDS Lookup'!$G$6:$G$2819,$G28))</f>
        <v/>
      </c>
      <c r="G28" t="str">
        <f>IF(5&lt;=$B$4,IFERROR(MATCH(5,'EDS Lookup'!$H$6:$H$2819,0),""),"")</f>
        <v/>
      </c>
      <c r="H28" t="str">
        <f t="shared" si="0"/>
        <v/>
      </c>
    </row>
    <row r="29" spans="1:8" ht="19.95" customHeight="1">
      <c r="A29" s="5" t="str">
        <f>IF($G29="","",INDEX('EDS Lookup'!$D$6:$D$2819,$G29))</f>
        <v/>
      </c>
      <c r="B29" s="5" t="str">
        <f>IF($G29="","",INDEX('EDS Lookup'!$B$6:$B$2819,$G29))</f>
        <v/>
      </c>
      <c r="C29" s="17"/>
      <c r="D29" s="6"/>
      <c r="E29" s="7" t="str">
        <f>IF($G29="","",INDEX('EDS Lookup'!$F$6:$F$2819,$G29))</f>
        <v/>
      </c>
      <c r="F29" s="8" t="str">
        <f>IF($G29="","",INDEX('EDS Lookup'!$G$6:$G$2819,$G29))</f>
        <v/>
      </c>
      <c r="G29" t="str">
        <f>IF(6&lt;=$B$4,IFERROR(MATCH(6,'EDS Lookup'!$H$6:$H$2819,0),""),"")</f>
        <v/>
      </c>
      <c r="H29" t="str">
        <f t="shared" si="0"/>
        <v/>
      </c>
    </row>
    <row r="30" spans="1:8" ht="19.95" customHeight="1">
      <c r="A30" s="5" t="str">
        <f>IF($G30="","",INDEX('EDS Lookup'!$D$6:$D$2819,$G30))</f>
        <v/>
      </c>
      <c r="B30" s="5" t="str">
        <f>IF($G30="","",INDEX('EDS Lookup'!$B$6:$B$2819,$G30))</f>
        <v/>
      </c>
      <c r="C30" s="17"/>
      <c r="D30" s="6"/>
      <c r="E30" s="7" t="str">
        <f>IF($G30="","",INDEX('EDS Lookup'!$F$6:$F$2819,$G30))</f>
        <v/>
      </c>
      <c r="F30" s="8" t="str">
        <f>IF($G30="","",INDEX('EDS Lookup'!$G$6:$G$2819,$G30))</f>
        <v/>
      </c>
      <c r="G30" t="str">
        <f>IF(7&lt;=$B$4,IFERROR(MATCH(7,'EDS Lookup'!$H$6:$H$2819,0),""),"")</f>
        <v/>
      </c>
      <c r="H30" t="str">
        <f t="shared" si="0"/>
        <v/>
      </c>
    </row>
    <row r="31" spans="1:8" ht="19.95" customHeight="1">
      <c r="A31" s="5" t="str">
        <f>IF($G31="","",INDEX('EDS Lookup'!$D$6:$D$2819,$G31))</f>
        <v/>
      </c>
      <c r="B31" s="5" t="str">
        <f>IF($G31="","",INDEX('EDS Lookup'!$B$6:$B$2819,$G31))</f>
        <v/>
      </c>
      <c r="C31" s="17"/>
      <c r="D31" s="6"/>
      <c r="E31" s="7" t="str">
        <f>IF($G31="","",INDEX('EDS Lookup'!$F$6:$F$2819,$G31))</f>
        <v/>
      </c>
      <c r="F31" s="8" t="str">
        <f>IF($G31="","",INDEX('EDS Lookup'!$G$6:$G$2819,$G31))</f>
        <v/>
      </c>
      <c r="G31" t="str">
        <f>IF(8&lt;=$B$4,IFERROR(MATCH(8,'EDS Lookup'!$H$6:$H$2819,0),""),"")</f>
        <v/>
      </c>
      <c r="H31" t="str">
        <f t="shared" si="0"/>
        <v/>
      </c>
    </row>
    <row r="32" spans="1:8" ht="19.95" customHeight="1">
      <c r="A32" s="5" t="str">
        <f>IF($G32="","",INDEX('EDS Lookup'!$D$6:$D$2819,$G32))</f>
        <v/>
      </c>
      <c r="B32" s="5" t="str">
        <f>IF($G32="","",INDEX('EDS Lookup'!$B$6:$B$2819,$G32))</f>
        <v/>
      </c>
      <c r="C32" s="17"/>
      <c r="D32" s="6"/>
      <c r="E32" s="7" t="str">
        <f>IF($G32="","",INDEX('EDS Lookup'!$F$6:$F$2819,$G32))</f>
        <v/>
      </c>
      <c r="F32" s="8" t="str">
        <f>IF($G32="","",INDEX('EDS Lookup'!$G$6:$G$2819,$G32))</f>
        <v/>
      </c>
      <c r="G32" t="str">
        <f>IF(9&lt;=$B$4,IFERROR(MATCH(9,'EDS Lookup'!$H$6:$H$2819,0),""),"")</f>
        <v/>
      </c>
      <c r="H32" t="str">
        <f t="shared" si="0"/>
        <v/>
      </c>
    </row>
    <row r="33" spans="1:8" ht="19.95" customHeight="1">
      <c r="A33" s="5" t="str">
        <f>IF($G33="","",INDEX('EDS Lookup'!$D$6:$D$2819,$G33))</f>
        <v/>
      </c>
      <c r="B33" s="5" t="str">
        <f>IF($G33="","",INDEX('EDS Lookup'!$B$6:$B$2819,$G33))</f>
        <v/>
      </c>
      <c r="C33" s="17"/>
      <c r="D33" s="6"/>
      <c r="E33" s="7" t="str">
        <f>IF($G33="","",INDEX('EDS Lookup'!$F$6:$F$2819,$G33))</f>
        <v/>
      </c>
      <c r="F33" s="8" t="str">
        <f>IF($G33="","",INDEX('EDS Lookup'!$G$6:$G$2819,$G33))</f>
        <v/>
      </c>
      <c r="G33" t="str">
        <f>IF(10&lt;=$B$4,IFERROR(MATCH(10,'EDS Lookup'!$H$6:$H$2819,0),""),"")</f>
        <v/>
      </c>
      <c r="H33" t="str">
        <f t="shared" si="0"/>
        <v/>
      </c>
    </row>
    <row r="34" spans="1:8" ht="19.95" customHeight="1">
      <c r="A34" s="5" t="str">
        <f>IF($G34="","",INDEX('EDS Lookup'!$D$6:$D$2819,$G34))</f>
        <v/>
      </c>
      <c r="B34" s="5" t="str">
        <f>IF($G34="","",INDEX('EDS Lookup'!$B$6:$B$2819,$G34))</f>
        <v/>
      </c>
      <c r="C34" s="17"/>
      <c r="D34" s="6"/>
      <c r="E34" s="7" t="str">
        <f>IF($G34="","",INDEX('EDS Lookup'!$F$6:$F$2819,$G34))</f>
        <v/>
      </c>
      <c r="F34" s="8" t="str">
        <f>IF($G34="","",INDEX('EDS Lookup'!$G$6:$G$2819,$G34))</f>
        <v/>
      </c>
      <c r="G34" t="str">
        <f>IF(11&lt;=$B$4,IFERROR(MATCH(11,'EDS Lookup'!$H$6:$H$2819,0),""),"")</f>
        <v/>
      </c>
      <c r="H34" t="str">
        <f t="shared" si="0"/>
        <v/>
      </c>
    </row>
    <row r="35" spans="1:8" ht="19.95" customHeight="1">
      <c r="A35" s="5" t="str">
        <f>IF($G35="","",INDEX('EDS Lookup'!$D$6:$D$2819,$G35))</f>
        <v/>
      </c>
      <c r="B35" s="5" t="str">
        <f>IF($G35="","",INDEX('EDS Lookup'!$B$6:$B$2819,$G35))</f>
        <v/>
      </c>
      <c r="C35" s="17"/>
      <c r="D35" s="6"/>
      <c r="E35" s="7" t="str">
        <f>IF($G35="","",INDEX('EDS Lookup'!$F$6:$F$2819,$G35))</f>
        <v/>
      </c>
      <c r="F35" s="8" t="str">
        <f>IF($G35="","",INDEX('EDS Lookup'!$G$6:$G$2819,$G35))</f>
        <v/>
      </c>
      <c r="G35" t="str">
        <f>IF(12&lt;=$B$4,IFERROR(MATCH(12,'EDS Lookup'!$H$6:$H$2819,0),""),"")</f>
        <v/>
      </c>
      <c r="H35" t="str">
        <f t="shared" si="0"/>
        <v/>
      </c>
    </row>
    <row r="36" spans="1:8" ht="19.95" customHeight="1">
      <c r="A36" s="5" t="str">
        <f>IF($G36="","",INDEX('EDS Lookup'!$D$6:$D$2819,$G36))</f>
        <v/>
      </c>
      <c r="B36" s="5" t="str">
        <f>IF($G36="","",INDEX('EDS Lookup'!$B$6:$B$2819,$G36))</f>
        <v/>
      </c>
      <c r="C36" s="17"/>
      <c r="D36" s="6"/>
      <c r="E36" s="7" t="str">
        <f>IF($G36="","",INDEX('EDS Lookup'!$F$6:$F$2819,$G36))</f>
        <v/>
      </c>
      <c r="F36" s="8" t="str">
        <f>IF($G36="","",INDEX('EDS Lookup'!$G$6:$G$2819,$G36))</f>
        <v/>
      </c>
      <c r="G36" t="str">
        <f>IF(13&lt;=$B$4,IFERROR(MATCH(13,'EDS Lookup'!$H$6:$H$2819,0),""),"")</f>
        <v/>
      </c>
      <c r="H36" t="str">
        <f t="shared" si="0"/>
        <v/>
      </c>
    </row>
    <row r="37" spans="1:8" ht="19.95" customHeight="1">
      <c r="A37" s="5" t="str">
        <f>IF($G37="","",INDEX('EDS Lookup'!$D$6:$D$2819,$G37))</f>
        <v/>
      </c>
      <c r="B37" s="5" t="str">
        <f>IF($G37="","",INDEX('EDS Lookup'!$B$6:$B$2819,$G37))</f>
        <v/>
      </c>
      <c r="C37" s="17"/>
      <c r="D37" s="6"/>
      <c r="E37" s="7" t="str">
        <f>IF($G37="","",INDEX('EDS Lookup'!$F$6:$F$2819,$G37))</f>
        <v/>
      </c>
      <c r="F37" s="8" t="str">
        <f>IF($G37="","",INDEX('EDS Lookup'!$G$6:$G$2819,$G37))</f>
        <v/>
      </c>
      <c r="G37" t="str">
        <f>IF(14&lt;=$B$4,IFERROR(MATCH(14,'EDS Lookup'!$H$6:$H$2819,0),""),"")</f>
        <v/>
      </c>
      <c r="H37" t="str">
        <f t="shared" si="0"/>
        <v/>
      </c>
    </row>
    <row r="38" spans="1:8" ht="19.95" customHeight="1">
      <c r="A38" s="5" t="str">
        <f>IF($G38="","",INDEX('EDS Lookup'!$D$6:$D$2819,$G38))</f>
        <v/>
      </c>
      <c r="B38" s="5" t="str">
        <f>IF($G38="","",INDEX('EDS Lookup'!$B$6:$B$2819,$G38))</f>
        <v/>
      </c>
      <c r="C38" s="17"/>
      <c r="D38" s="6"/>
      <c r="E38" s="7" t="str">
        <f>IF($G38="","",INDEX('EDS Lookup'!$F$6:$F$2819,$G38))</f>
        <v/>
      </c>
      <c r="F38" s="8" t="str">
        <f>IF($G38="","",INDEX('EDS Lookup'!$G$6:$G$2819,$G38))</f>
        <v/>
      </c>
      <c r="G38" t="str">
        <f>IF(15&lt;=$B$4,IFERROR(MATCH(15,'EDS Lookup'!$H$6:$H$2819,0),""),"")</f>
        <v/>
      </c>
      <c r="H38" t="str">
        <f t="shared" si="0"/>
        <v/>
      </c>
    </row>
    <row r="39" spans="1:8" ht="19.95" customHeight="1">
      <c r="A39" s="5" t="str">
        <f>IF($G39="","",INDEX('EDS Lookup'!$D$6:$D$2819,$G39))</f>
        <v/>
      </c>
      <c r="B39" s="5" t="str">
        <f>IF($G39="","",INDEX('EDS Lookup'!$B$6:$B$2819,$G39))</f>
        <v/>
      </c>
      <c r="C39" s="17"/>
      <c r="D39" s="6"/>
      <c r="E39" s="7" t="str">
        <f>IF($G39="","",INDEX('EDS Lookup'!$F$6:$F$2819,$G39))</f>
        <v/>
      </c>
      <c r="F39" s="8" t="str">
        <f>IF($G39="","",INDEX('EDS Lookup'!$G$6:$G$2819,$G39))</f>
        <v/>
      </c>
      <c r="G39" t="str">
        <f>IF(16&lt;=$B$4,IFERROR(MATCH(16,'EDS Lookup'!$H$6:$H$2819,0),""),"")</f>
        <v/>
      </c>
      <c r="H39" t="str">
        <f t="shared" si="0"/>
        <v/>
      </c>
    </row>
    <row r="40" spans="1:8" ht="19.95" customHeight="1">
      <c r="A40" s="5" t="str">
        <f>IF($G40="","",INDEX('EDS Lookup'!$D$6:$D$2819,$G40))</f>
        <v/>
      </c>
      <c r="B40" s="5" t="str">
        <f>IF($G40="","",INDEX('EDS Lookup'!$B$6:$B$2819,$G40))</f>
        <v/>
      </c>
      <c r="C40" s="17"/>
      <c r="D40" s="6"/>
      <c r="E40" s="7" t="str">
        <f>IF($G40="","",INDEX('EDS Lookup'!$F$6:$F$2819,$G40))</f>
        <v/>
      </c>
      <c r="F40" s="8" t="str">
        <f>IF($G40="","",INDEX('EDS Lookup'!$G$6:$G$2819,$G40))</f>
        <v/>
      </c>
      <c r="G40" t="str">
        <f>IF(17&lt;=$B$4,IFERROR(MATCH(17,'EDS Lookup'!$H$6:$H$2819,0),""),"")</f>
        <v/>
      </c>
      <c r="H40" t="str">
        <f t="shared" si="0"/>
        <v/>
      </c>
    </row>
    <row r="41" spans="1:8" ht="19.95" customHeight="1">
      <c r="A41" s="5" t="str">
        <f>IF($G41="","",INDEX('EDS Lookup'!$D$6:$D$2819,$G41))</f>
        <v/>
      </c>
      <c r="B41" s="5" t="str">
        <f>IF($G41="","",INDEX('EDS Lookup'!$B$6:$B$2819,$G41))</f>
        <v/>
      </c>
      <c r="C41" s="17"/>
      <c r="D41" s="6"/>
      <c r="E41" s="7" t="str">
        <f>IF($G41="","",INDEX('EDS Lookup'!$F$6:$F$2819,$G41))</f>
        <v/>
      </c>
      <c r="F41" s="8" t="str">
        <f>IF($G41="","",INDEX('EDS Lookup'!$G$6:$G$2819,$G41))</f>
        <v/>
      </c>
      <c r="G41" t="str">
        <f>IF(18&lt;=$B$4,IFERROR(MATCH(18,'EDS Lookup'!$H$6:$H$2819,0),""),"")</f>
        <v/>
      </c>
      <c r="H41" t="str">
        <f t="shared" si="0"/>
        <v/>
      </c>
    </row>
    <row r="42" spans="1:8" ht="19.95" customHeight="1">
      <c r="A42" s="5" t="str">
        <f>IF($G42="","",INDEX('EDS Lookup'!$D$6:$D$2819,$G42))</f>
        <v/>
      </c>
      <c r="B42" s="5" t="str">
        <f>IF($G42="","",INDEX('EDS Lookup'!$B$6:$B$2819,$G42))</f>
        <v/>
      </c>
      <c r="C42" s="17"/>
      <c r="D42" s="6"/>
      <c r="E42" s="7" t="str">
        <f>IF($G42="","",INDEX('EDS Lookup'!$F$6:$F$2819,$G42))</f>
        <v/>
      </c>
      <c r="F42" s="8" t="str">
        <f>IF($G42="","",INDEX('EDS Lookup'!$G$6:$G$2819,$G42))</f>
        <v/>
      </c>
      <c r="G42" t="str">
        <f>IF(19&lt;=$B$4,IFERROR(MATCH(19,'EDS Lookup'!$H$6:$H$2819,0),""),"")</f>
        <v/>
      </c>
      <c r="H42" t="str">
        <f t="shared" si="0"/>
        <v/>
      </c>
    </row>
    <row r="43" spans="1:8" ht="19.95" customHeight="1">
      <c r="A43" s="5" t="str">
        <f>IF($G43="","",INDEX('EDS Lookup'!$D$6:$D$2819,$G43))</f>
        <v/>
      </c>
      <c r="B43" s="5" t="str">
        <f>IF($G43="","",INDEX('EDS Lookup'!$B$6:$B$2819,$G43))</f>
        <v/>
      </c>
      <c r="C43" s="17"/>
      <c r="D43" s="6"/>
      <c r="E43" s="7" t="str">
        <f>IF($G43="","",INDEX('EDS Lookup'!$F$6:$F$2819,$G43))</f>
        <v/>
      </c>
      <c r="F43" s="8" t="str">
        <f>IF($G43="","",INDEX('EDS Lookup'!$G$6:$G$2819,$G43))</f>
        <v/>
      </c>
      <c r="G43" t="str">
        <f>IF(20&lt;=$B$4,IFERROR(MATCH(20,'EDS Lookup'!$H$6:$H$2819,0),""),"")</f>
        <v/>
      </c>
      <c r="H43" t="str">
        <f t="shared" si="0"/>
        <v/>
      </c>
    </row>
    <row r="44" spans="1:8" ht="19.95" customHeight="1">
      <c r="A44" s="5" t="str">
        <f>IF($G44="","",INDEX('EDS Lookup'!$D$6:$D$2819,$G44))</f>
        <v/>
      </c>
      <c r="B44" s="5" t="str">
        <f>IF($G44="","",INDEX('EDS Lookup'!$B$6:$B$2819,$G44))</f>
        <v/>
      </c>
      <c r="C44" s="17"/>
      <c r="D44" s="6"/>
      <c r="E44" s="7" t="str">
        <f>IF($G44="","",INDEX('EDS Lookup'!$F$6:$F$2819,$G44))</f>
        <v/>
      </c>
      <c r="F44" s="8" t="str">
        <f>IF($G44="","",INDEX('EDS Lookup'!$G$6:$G$2819,$G44))</f>
        <v/>
      </c>
      <c r="G44" t="str">
        <f>IF(21&lt;=$B$4,IFERROR(MATCH(21,'EDS Lookup'!$H$6:$H$2819,0),""),"")</f>
        <v/>
      </c>
      <c r="H44" t="str">
        <f t="shared" si="0"/>
        <v/>
      </c>
    </row>
    <row r="45" spans="1:8" ht="19.95" customHeight="1">
      <c r="A45" s="5" t="str">
        <f>IF($G45="","",INDEX('EDS Lookup'!$D$6:$D$2819,$G45))</f>
        <v/>
      </c>
      <c r="B45" s="5" t="str">
        <f>IF($G45="","",INDEX('EDS Lookup'!$B$6:$B$2819,$G45))</f>
        <v/>
      </c>
      <c r="C45" s="17"/>
      <c r="D45" s="6"/>
      <c r="E45" s="7" t="str">
        <f>IF($G45="","",INDEX('EDS Lookup'!$F$6:$F$2819,$G45))</f>
        <v/>
      </c>
      <c r="F45" s="8" t="str">
        <f>IF($G45="","",INDEX('EDS Lookup'!$G$6:$G$2819,$G45))</f>
        <v/>
      </c>
      <c r="G45" t="str">
        <f>IF(22&lt;=$B$4,IFERROR(MATCH(22,'EDS Lookup'!$H$6:$H$2819,0),""),"")</f>
        <v/>
      </c>
      <c r="H45" t="str">
        <f t="shared" si="0"/>
        <v/>
      </c>
    </row>
    <row r="46" spans="1:8" ht="19.95" customHeight="1">
      <c r="A46" s="5" t="str">
        <f>IF($G46="","",INDEX('EDS Lookup'!$D$6:$D$2819,$G46))</f>
        <v/>
      </c>
      <c r="B46" s="5" t="str">
        <f>IF($G46="","",INDEX('EDS Lookup'!$B$6:$B$2819,$G46))</f>
        <v/>
      </c>
      <c r="C46" s="17"/>
      <c r="D46" s="6"/>
      <c r="E46" s="7" t="str">
        <f>IF($G46="","",INDEX('EDS Lookup'!$F$6:$F$2819,$G46))</f>
        <v/>
      </c>
      <c r="F46" s="8" t="str">
        <f>IF($G46="","",INDEX('EDS Lookup'!$G$6:$G$2819,$G46))</f>
        <v/>
      </c>
      <c r="G46" t="str">
        <f>IF(23&lt;=$B$4,IFERROR(MATCH(23,'EDS Lookup'!$H$6:$H$2819,0),""),"")</f>
        <v/>
      </c>
      <c r="H46" t="str">
        <f t="shared" si="0"/>
        <v/>
      </c>
    </row>
    <row r="47" spans="1:8" ht="19.95" customHeight="1">
      <c r="A47" s="5" t="str">
        <f>IF($G47="","",INDEX('EDS Lookup'!$D$6:$D$2819,$G47))</f>
        <v/>
      </c>
      <c r="B47" s="5" t="str">
        <f>IF($G47="","",INDEX('EDS Lookup'!$B$6:$B$2819,$G47))</f>
        <v/>
      </c>
      <c r="C47" s="17"/>
      <c r="D47" s="6"/>
      <c r="E47" s="7" t="str">
        <f>IF($G47="","",INDEX('EDS Lookup'!$F$6:$F$2819,$G47))</f>
        <v/>
      </c>
      <c r="F47" s="8" t="str">
        <f>IF($G47="","",INDEX('EDS Lookup'!$G$6:$G$2819,$G47))</f>
        <v/>
      </c>
      <c r="G47" t="str">
        <f>IF(24&lt;=$B$4,IFERROR(MATCH(24,'EDS Lookup'!$H$6:$H$2819,0),""),"")</f>
        <v/>
      </c>
      <c r="H47" t="str">
        <f t="shared" si="0"/>
        <v/>
      </c>
    </row>
    <row r="48" spans="1:8" ht="19.95" customHeight="1">
      <c r="A48" s="5" t="str">
        <f>IF($G48="","",INDEX('EDS Lookup'!$D$6:$D$2819,$G48))</f>
        <v/>
      </c>
      <c r="B48" s="5" t="str">
        <f>IF($G48="","",INDEX('EDS Lookup'!$B$6:$B$2819,$G48))</f>
        <v/>
      </c>
      <c r="C48" s="17"/>
      <c r="D48" s="6"/>
      <c r="E48" s="7" t="str">
        <f>IF($G48="","",INDEX('EDS Lookup'!$F$6:$F$2819,$G48))</f>
        <v/>
      </c>
      <c r="F48" s="8" t="str">
        <f>IF($G48="","",INDEX('EDS Lookup'!$G$6:$G$2819,$G48))</f>
        <v/>
      </c>
      <c r="G48" t="str">
        <f>IF(25&lt;=$B$4,IFERROR(MATCH(25,'EDS Lookup'!$H$6:$H$2819,0),""),"")</f>
        <v/>
      </c>
      <c r="H48" t="str">
        <f t="shared" si="0"/>
        <v/>
      </c>
    </row>
    <row r="49" spans="1:8" ht="19.95" customHeight="1">
      <c r="A49" s="5" t="str">
        <f>IF($G49="","",INDEX('EDS Lookup'!$D$6:$D$2819,$G49))</f>
        <v/>
      </c>
      <c r="B49" s="5" t="str">
        <f>IF($G49="","",INDEX('EDS Lookup'!$B$6:$B$2819,$G49))</f>
        <v/>
      </c>
      <c r="C49" s="17"/>
      <c r="D49" s="6"/>
      <c r="E49" s="7" t="str">
        <f>IF($G49="","",INDEX('EDS Lookup'!$F$6:$F$2819,$G49))</f>
        <v/>
      </c>
      <c r="F49" s="8" t="str">
        <f>IF($G49="","",INDEX('EDS Lookup'!$G$6:$G$2819,$G49))</f>
        <v/>
      </c>
      <c r="G49" t="str">
        <f>IF(26&lt;=$B$4,IFERROR(MATCH(26,'EDS Lookup'!$H$6:$H$2819,0),""),"")</f>
        <v/>
      </c>
      <c r="H49" t="str">
        <f t="shared" si="0"/>
        <v/>
      </c>
    </row>
    <row r="50" spans="1:8" ht="19.95" customHeight="1">
      <c r="A50" s="5" t="str">
        <f>IF($G50="","",INDEX('EDS Lookup'!$D$6:$D$2819,$G50))</f>
        <v/>
      </c>
      <c r="B50" s="5" t="str">
        <f>IF($G50="","",INDEX('EDS Lookup'!$B$6:$B$2819,$G50))</f>
        <v/>
      </c>
      <c r="C50" s="17"/>
      <c r="D50" s="6"/>
      <c r="E50" s="7" t="str">
        <f>IF($G50="","",INDEX('EDS Lookup'!$F$6:$F$2819,$G50))</f>
        <v/>
      </c>
      <c r="F50" s="8" t="str">
        <f>IF($G50="","",INDEX('EDS Lookup'!$G$6:$G$2819,$G50))</f>
        <v/>
      </c>
      <c r="G50" t="str">
        <f>IF(27&lt;=$B$4,IFERROR(MATCH(27,'EDS Lookup'!$H$6:$H$2819,0),""),"")</f>
        <v/>
      </c>
      <c r="H50" t="str">
        <f t="shared" si="0"/>
        <v/>
      </c>
    </row>
    <row r="51" spans="1:8" ht="19.95" customHeight="1">
      <c r="A51" s="5" t="str">
        <f>IF($G51="","",INDEX('EDS Lookup'!$D$6:$D$2819,$G51))</f>
        <v/>
      </c>
      <c r="B51" s="5" t="str">
        <f>IF($G51="","",INDEX('EDS Lookup'!$B$6:$B$2819,$G51))</f>
        <v/>
      </c>
      <c r="C51" s="17"/>
      <c r="D51" s="6"/>
      <c r="E51" s="7" t="str">
        <f>IF($G51="","",INDEX('EDS Lookup'!$F$6:$F$2819,$G51))</f>
        <v/>
      </c>
      <c r="F51" s="8" t="str">
        <f>IF($G51="","",INDEX('EDS Lookup'!$G$6:$G$2819,$G51))</f>
        <v/>
      </c>
      <c r="G51" t="str">
        <f>IF(28&lt;=$B$4,IFERROR(MATCH(28,'EDS Lookup'!$H$6:$H$2819,0),""),"")</f>
        <v/>
      </c>
      <c r="H51" t="str">
        <f t="shared" si="0"/>
        <v/>
      </c>
    </row>
    <row r="52" spans="1:8" ht="19.95" customHeight="1">
      <c r="A52" s="5" t="str">
        <f>IF($G52="","",INDEX('EDS Lookup'!$D$6:$D$2819,$G52))</f>
        <v/>
      </c>
      <c r="B52" s="5" t="str">
        <f>IF($G52="","",INDEX('EDS Lookup'!$B$6:$B$2819,$G52))</f>
        <v/>
      </c>
      <c r="C52" s="17"/>
      <c r="D52" s="6"/>
      <c r="E52" s="7" t="str">
        <f>IF($G52="","",INDEX('EDS Lookup'!$F$6:$F$2819,$G52))</f>
        <v/>
      </c>
      <c r="F52" s="8" t="str">
        <f>IF($G52="","",INDEX('EDS Lookup'!$G$6:$G$2819,$G52))</f>
        <v/>
      </c>
      <c r="G52" t="str">
        <f>IF(29&lt;=$B$4,IFERROR(MATCH(29,'EDS Lookup'!$H$6:$H$2819,0),""),"")</f>
        <v/>
      </c>
      <c r="H52" t="str">
        <f t="shared" si="0"/>
        <v/>
      </c>
    </row>
    <row r="53" spans="1:8" ht="19.95" customHeight="1">
      <c r="A53" s="5" t="str">
        <f>IF($G53="","",INDEX('EDS Lookup'!$D$6:$D$2819,$G53))</f>
        <v/>
      </c>
      <c r="B53" s="5" t="str">
        <f>IF($G53="","",INDEX('EDS Lookup'!$B$6:$B$2819,$G53))</f>
        <v/>
      </c>
      <c r="C53" s="17"/>
      <c r="D53" s="6"/>
      <c r="E53" s="7" t="str">
        <f>IF($G53="","",INDEX('EDS Lookup'!$F$6:$F$2819,$G53))</f>
        <v/>
      </c>
      <c r="F53" s="8" t="str">
        <f>IF($G53="","",INDEX('EDS Lookup'!$G$6:$G$2819,$G53))</f>
        <v/>
      </c>
      <c r="G53" t="str">
        <f>IF(30&lt;=$B$4,IFERROR(MATCH(30,'EDS Lookup'!$H$6:$H$2819,0),""),"")</f>
        <v/>
      </c>
      <c r="H53" t="str">
        <f t="shared" si="0"/>
        <v/>
      </c>
    </row>
    <row r="54" spans="1:8" ht="19.95" customHeight="1">
      <c r="A54" s="5" t="str">
        <f>IF($G54="","",INDEX('EDS Lookup'!$D$6:$D$2819,$G54))</f>
        <v/>
      </c>
      <c r="B54" s="5" t="str">
        <f>IF($G54="","",INDEX('EDS Lookup'!$B$6:$B$2819,$G54))</f>
        <v/>
      </c>
      <c r="C54" s="17"/>
      <c r="D54" s="6"/>
      <c r="E54" s="7" t="str">
        <f>IF($G54="","",INDEX('EDS Lookup'!$F$6:$F$2819,$G54))</f>
        <v/>
      </c>
      <c r="F54" s="8" t="str">
        <f>IF($G54="","",INDEX('EDS Lookup'!$G$6:$G$2819,$G54))</f>
        <v/>
      </c>
      <c r="G54" t="str">
        <f>IF(31&lt;=$B$4,IFERROR(MATCH(31,'EDS Lookup'!$H$6:$H$2819,0),""),"")</f>
        <v/>
      </c>
      <c r="H54" t="str">
        <f t="shared" si="0"/>
        <v/>
      </c>
    </row>
    <row r="55" spans="1:8" ht="19.95" customHeight="1">
      <c r="A55" s="5" t="str">
        <f>IF($G55="","",INDEX('EDS Lookup'!$D$6:$D$2819,$G55))</f>
        <v/>
      </c>
      <c r="B55" s="5" t="str">
        <f>IF($G55="","",INDEX('EDS Lookup'!$B$6:$B$2819,$G55))</f>
        <v/>
      </c>
      <c r="C55" s="17"/>
      <c r="D55" s="6"/>
      <c r="E55" s="7" t="str">
        <f>IF($G55="","",INDEX('EDS Lookup'!$F$6:$F$2819,$G55))</f>
        <v/>
      </c>
      <c r="F55" s="8" t="str">
        <f>IF($G55="","",INDEX('EDS Lookup'!$G$6:$G$2819,$G55))</f>
        <v/>
      </c>
      <c r="G55" t="str">
        <f>IF(32&lt;=$B$4,IFERROR(MATCH(32,'EDS Lookup'!$H$6:$H$2819,0),""),"")</f>
        <v/>
      </c>
      <c r="H55" t="str">
        <f t="shared" si="0"/>
        <v/>
      </c>
    </row>
    <row r="56" spans="1:8" ht="19.95" customHeight="1">
      <c r="A56" s="5" t="str">
        <f>IF($G56="","",INDEX('EDS Lookup'!$D$6:$D$2819,$G56))</f>
        <v/>
      </c>
      <c r="B56" s="5" t="str">
        <f>IF($G56="","",INDEX('EDS Lookup'!$B$6:$B$2819,$G56))</f>
        <v/>
      </c>
      <c r="C56" s="17"/>
      <c r="D56" s="6"/>
      <c r="E56" s="7" t="str">
        <f>IF($G56="","",INDEX('EDS Lookup'!$F$6:$F$2819,$G56))</f>
        <v/>
      </c>
      <c r="F56" s="8" t="str">
        <f>IF($G56="","",INDEX('EDS Lookup'!$G$6:$G$2819,$G56))</f>
        <v/>
      </c>
      <c r="G56" t="str">
        <f>IF(33&lt;=$B$4,IFERROR(MATCH(33,'EDS Lookup'!$H$6:$H$2819,0),""),"")</f>
        <v/>
      </c>
      <c r="H56" t="str">
        <f t="shared" si="0"/>
        <v/>
      </c>
    </row>
    <row r="57" spans="1:8" ht="19.95" customHeight="1">
      <c r="A57" s="5" t="str">
        <f>IF($G57="","",INDEX('EDS Lookup'!$D$6:$D$2819,$G57))</f>
        <v/>
      </c>
      <c r="B57" s="5" t="str">
        <f>IF($G57="","",INDEX('EDS Lookup'!$B$6:$B$2819,$G57))</f>
        <v/>
      </c>
      <c r="C57" s="17"/>
      <c r="D57" s="6"/>
      <c r="E57" s="7" t="str">
        <f>IF($G57="","",INDEX('EDS Lookup'!$F$6:$F$2819,$G57))</f>
        <v/>
      </c>
      <c r="F57" s="8" t="str">
        <f>IF($G57="","",INDEX('EDS Lookup'!$G$6:$G$2819,$G57))</f>
        <v/>
      </c>
      <c r="G57" t="str">
        <f>IF(34&lt;=$B$4,IFERROR(MATCH(34,'EDS Lookup'!$H$6:$H$2819,0),""),"")</f>
        <v/>
      </c>
      <c r="H57" t="str">
        <f t="shared" si="0"/>
        <v/>
      </c>
    </row>
    <row r="58" spans="1:8" ht="19.95" customHeight="1">
      <c r="A58" s="5" t="str">
        <f>IF($G58="","",INDEX('EDS Lookup'!$D$6:$D$2819,$G58))</f>
        <v/>
      </c>
      <c r="B58" s="5" t="str">
        <f>IF($G58="","",INDEX('EDS Lookup'!$B$6:$B$2819,$G58))</f>
        <v/>
      </c>
      <c r="C58" s="17"/>
      <c r="D58" s="6"/>
      <c r="E58" s="7" t="str">
        <f>IF($G58="","",INDEX('EDS Lookup'!$F$6:$F$2819,$G58))</f>
        <v/>
      </c>
      <c r="F58" s="8" t="str">
        <f>IF($G58="","",INDEX('EDS Lookup'!$G$6:$G$2819,$G58))</f>
        <v/>
      </c>
      <c r="G58" t="str">
        <f>IF(35&lt;=$B$4,IFERROR(MATCH(35,'EDS Lookup'!$H$6:$H$2819,0),""),"")</f>
        <v/>
      </c>
      <c r="H58" t="str">
        <f t="shared" si="0"/>
        <v/>
      </c>
    </row>
    <row r="59" spans="1:8" ht="19.95" customHeight="1">
      <c r="A59" s="5" t="str">
        <f>IF($G59="","",INDEX('EDS Lookup'!$D$6:$D$2819,$G59))</f>
        <v/>
      </c>
      <c r="B59" s="5" t="str">
        <f>IF($G59="","",INDEX('EDS Lookup'!$B$6:$B$2819,$G59))</f>
        <v/>
      </c>
      <c r="C59" s="17"/>
      <c r="D59" s="6"/>
      <c r="E59" s="7" t="str">
        <f>IF($G59="","",INDEX('EDS Lookup'!$F$6:$F$2819,$G59))</f>
        <v/>
      </c>
      <c r="F59" s="8" t="str">
        <f>IF($G59="","",INDEX('EDS Lookup'!$G$6:$G$2819,$G59))</f>
        <v/>
      </c>
      <c r="G59" t="str">
        <f>IF(36&lt;=$B$4,IFERROR(MATCH(36,'EDS Lookup'!$H$6:$H$2819,0),""),"")</f>
        <v/>
      </c>
      <c r="H59" t="str">
        <f t="shared" si="0"/>
        <v/>
      </c>
    </row>
    <row r="60" spans="1:8" ht="19.95" customHeight="1">
      <c r="A60" s="5" t="str">
        <f>IF($G60="","",INDEX('EDS Lookup'!$D$6:$D$2819,$G60))</f>
        <v/>
      </c>
      <c r="B60" s="5" t="str">
        <f>IF($G60="","",INDEX('EDS Lookup'!$B$6:$B$2819,$G60))</f>
        <v/>
      </c>
      <c r="C60" s="17"/>
      <c r="D60" s="6"/>
      <c r="E60" s="7" t="str">
        <f>IF($G60="","",INDEX('EDS Lookup'!$F$6:$F$2819,$G60))</f>
        <v/>
      </c>
      <c r="F60" s="8" t="str">
        <f>IF($G60="","",INDEX('EDS Lookup'!$G$6:$G$2819,$G60))</f>
        <v/>
      </c>
      <c r="G60" t="str">
        <f>IF(37&lt;=$B$4,IFERROR(MATCH(37,'EDS Lookup'!$H$6:$H$2819,0),""),"")</f>
        <v/>
      </c>
      <c r="H60" t="str">
        <f t="shared" si="0"/>
        <v/>
      </c>
    </row>
    <row r="61" spans="1:8" ht="19.95" customHeight="1">
      <c r="A61" s="5" t="str">
        <f>IF($G61="","",INDEX('EDS Lookup'!$D$6:$D$2819,$G61))</f>
        <v/>
      </c>
      <c r="B61" s="5" t="str">
        <f>IF($G61="","",INDEX('EDS Lookup'!$B$6:$B$2819,$G61))</f>
        <v/>
      </c>
      <c r="C61" s="17"/>
      <c r="D61" s="6"/>
      <c r="E61" s="7" t="str">
        <f>IF($G61="","",INDEX('EDS Lookup'!$F$6:$F$2819,$G61))</f>
        <v/>
      </c>
      <c r="F61" s="8" t="str">
        <f>IF($G61="","",INDEX('EDS Lookup'!$G$6:$G$2819,$G61))</f>
        <v/>
      </c>
      <c r="G61" t="str">
        <f>IF(38&lt;=$B$4,IFERROR(MATCH(38,'EDS Lookup'!$H$6:$H$2819,0),""),"")</f>
        <v/>
      </c>
      <c r="H61" t="str">
        <f t="shared" si="0"/>
        <v/>
      </c>
    </row>
    <row r="62" spans="1:8" ht="19.95" customHeight="1">
      <c r="A62" s="5" t="str">
        <f>IF($G62="","",INDEX('EDS Lookup'!$D$6:$D$2819,$G62))</f>
        <v/>
      </c>
      <c r="B62" s="5" t="str">
        <f>IF($G62="","",INDEX('EDS Lookup'!$B$6:$B$2819,$G62))</f>
        <v/>
      </c>
      <c r="C62" s="17"/>
      <c r="D62" s="6"/>
      <c r="E62" s="7" t="str">
        <f>IF($G62="","",INDEX('EDS Lookup'!$F$6:$F$2819,$G62))</f>
        <v/>
      </c>
      <c r="F62" s="8" t="str">
        <f>IF($G62="","",INDEX('EDS Lookup'!$G$6:$G$2819,$G62))</f>
        <v/>
      </c>
      <c r="G62" t="str">
        <f>IF(39&lt;=$B$4,IFERROR(MATCH(39,'EDS Lookup'!$H$6:$H$2819,0),""),"")</f>
        <v/>
      </c>
      <c r="H62" t="str">
        <f t="shared" si="0"/>
        <v/>
      </c>
    </row>
    <row r="63" spans="1:8" ht="19.95" customHeight="1">
      <c r="A63" s="5" t="str">
        <f>IF($G63="","",INDEX('EDS Lookup'!$D$6:$D$2819,$G63))</f>
        <v/>
      </c>
      <c r="B63" s="5" t="str">
        <f>IF($G63="","",INDEX('EDS Lookup'!$B$6:$B$2819,$G63))</f>
        <v/>
      </c>
      <c r="C63" s="17"/>
      <c r="D63" s="6"/>
      <c r="E63" s="7" t="str">
        <f>IF($G63="","",INDEX('EDS Lookup'!$F$6:$F$2819,$G63))</f>
        <v/>
      </c>
      <c r="F63" s="8" t="str">
        <f>IF($G63="","",INDEX('EDS Lookup'!$G$6:$G$2819,$G63))</f>
        <v/>
      </c>
      <c r="G63" t="str">
        <f>IF(40&lt;=$B$4,IFERROR(MATCH(40,'EDS Lookup'!$H$6:$H$2819,0),""),"")</f>
        <v/>
      </c>
      <c r="H63" t="str">
        <f t="shared" si="0"/>
        <v/>
      </c>
    </row>
    <row r="64" spans="1:8" ht="19.95" customHeight="1">
      <c r="A64" s="5" t="str">
        <f>IF($G64="","",INDEX('EDS Lookup'!$D$6:$D$2819,$G64))</f>
        <v/>
      </c>
      <c r="B64" s="5" t="str">
        <f>IF($G64="","",INDEX('EDS Lookup'!$B$6:$B$2819,$G64))</f>
        <v/>
      </c>
      <c r="C64" s="17"/>
      <c r="D64" s="6"/>
      <c r="E64" s="7" t="str">
        <f>IF($G64="","",INDEX('EDS Lookup'!$F$6:$F$2819,$G64))</f>
        <v/>
      </c>
      <c r="F64" s="8" t="str">
        <f>IF($G64="","",INDEX('EDS Lookup'!$G$6:$G$2819,$G64))</f>
        <v/>
      </c>
      <c r="G64" t="str">
        <f>IF(41&lt;=$B$4,IFERROR(MATCH(41,'EDS Lookup'!$H$6:$H$2819,0),""),"")</f>
        <v/>
      </c>
      <c r="H64" t="str">
        <f t="shared" si="0"/>
        <v/>
      </c>
    </row>
    <row r="65" spans="1:8" ht="19.95" customHeight="1">
      <c r="A65" s="5" t="str">
        <f>IF($G65="","",INDEX('EDS Lookup'!$D$6:$D$2819,$G65))</f>
        <v/>
      </c>
      <c r="B65" s="5" t="str">
        <f>IF($G65="","",INDEX('EDS Lookup'!$B$6:$B$2819,$G65))</f>
        <v/>
      </c>
      <c r="C65" s="17"/>
      <c r="D65" s="6"/>
      <c r="E65" s="7" t="str">
        <f>IF($G65="","",INDEX('EDS Lookup'!$F$6:$F$2819,$G65))</f>
        <v/>
      </c>
      <c r="F65" s="8" t="str">
        <f>IF($G65="","",INDEX('EDS Lookup'!$G$6:$G$2819,$G65))</f>
        <v/>
      </c>
      <c r="G65" t="str">
        <f>IF(42&lt;=$B$4,IFERROR(MATCH(42,'EDS Lookup'!$H$6:$H$2819,0),""),"")</f>
        <v/>
      </c>
      <c r="H65" t="str">
        <f t="shared" si="0"/>
        <v/>
      </c>
    </row>
    <row r="66" spans="1:8" ht="19.95" customHeight="1">
      <c r="A66" s="5" t="str">
        <f>IF($G66="","",INDEX('EDS Lookup'!$D$6:$D$2819,$G66))</f>
        <v/>
      </c>
      <c r="B66" s="5" t="str">
        <f>IF($G66="","",INDEX('EDS Lookup'!$B$6:$B$2819,$G66))</f>
        <v/>
      </c>
      <c r="C66" s="17"/>
      <c r="D66" s="6"/>
      <c r="E66" s="7" t="str">
        <f>IF($G66="","",INDEX('EDS Lookup'!$F$6:$F$2819,$G66))</f>
        <v/>
      </c>
      <c r="F66" s="8" t="str">
        <f>IF($G66="","",INDEX('EDS Lookup'!$G$6:$G$2819,$G66))</f>
        <v/>
      </c>
      <c r="G66" t="str">
        <f>IF(43&lt;=$B$4,IFERROR(MATCH(43,'EDS Lookup'!$H$6:$H$2819,0),""),"")</f>
        <v/>
      </c>
      <c r="H66" t="str">
        <f t="shared" si="0"/>
        <v/>
      </c>
    </row>
    <row r="67" spans="1:8" ht="19.95" customHeight="1">
      <c r="A67" s="5" t="str">
        <f>IF($G67="","",INDEX('EDS Lookup'!$D$6:$D$2819,$G67))</f>
        <v/>
      </c>
      <c r="B67" s="5" t="str">
        <f>IF($G67="","",INDEX('EDS Lookup'!$B$6:$B$2819,$G67))</f>
        <v/>
      </c>
      <c r="C67" s="17"/>
      <c r="D67" s="6"/>
      <c r="E67" s="7" t="str">
        <f>IF($G67="","",INDEX('EDS Lookup'!$F$6:$F$2819,$G67))</f>
        <v/>
      </c>
      <c r="F67" s="8" t="str">
        <f>IF($G67="","",INDEX('EDS Lookup'!$G$6:$G$2819,$G67))</f>
        <v/>
      </c>
      <c r="G67" t="str">
        <f>IF(44&lt;=$B$4,IFERROR(MATCH(44,'EDS Lookup'!$H$6:$H$2819,0),""),"")</f>
        <v/>
      </c>
      <c r="H67" t="str">
        <f t="shared" si="0"/>
        <v/>
      </c>
    </row>
    <row r="68" spans="1:8" ht="19.95" customHeight="1">
      <c r="A68" s="5" t="str">
        <f>IF($G68="","",INDEX('EDS Lookup'!$D$6:$D$2819,$G68))</f>
        <v/>
      </c>
      <c r="B68" s="5" t="str">
        <f>IF($G68="","",INDEX('EDS Lookup'!$B$6:$B$2819,$G68))</f>
        <v/>
      </c>
      <c r="C68" s="17"/>
      <c r="D68" s="6"/>
      <c r="E68" s="7" t="str">
        <f>IF($G68="","",INDEX('EDS Lookup'!$F$6:$F$2819,$G68))</f>
        <v/>
      </c>
      <c r="F68" s="8" t="str">
        <f>IF($G68="","",INDEX('EDS Lookup'!$G$6:$G$2819,$G68))</f>
        <v/>
      </c>
      <c r="G68" t="str">
        <f>IF(45&lt;=$B$4,IFERROR(MATCH(45,'EDS Lookup'!$H$6:$H$2819,0),""),"")</f>
        <v/>
      </c>
      <c r="H68" t="str">
        <f t="shared" si="0"/>
        <v/>
      </c>
    </row>
    <row r="69" spans="1:8" ht="19.95" customHeight="1">
      <c r="A69" s="5" t="str">
        <f>IF($G69="","",INDEX('EDS Lookup'!$D$6:$D$2819,$G69))</f>
        <v/>
      </c>
      <c r="B69" s="5" t="str">
        <f>IF($G69="","",INDEX('EDS Lookup'!$B$6:$B$2819,$G69))</f>
        <v/>
      </c>
      <c r="C69" s="17"/>
      <c r="D69" s="6"/>
      <c r="E69" s="7" t="str">
        <f>IF($G69="","",INDEX('EDS Lookup'!$F$6:$F$2819,$G69))</f>
        <v/>
      </c>
      <c r="F69" s="8" t="str">
        <f>IF($G69="","",INDEX('EDS Lookup'!$G$6:$G$2819,$G69))</f>
        <v/>
      </c>
      <c r="G69" t="str">
        <f>IF(46&lt;=$B$4,IFERROR(MATCH(46,'EDS Lookup'!$H$6:$H$2819,0),""),"")</f>
        <v/>
      </c>
      <c r="H69" t="str">
        <f t="shared" si="0"/>
        <v/>
      </c>
    </row>
    <row r="70" spans="1:8" ht="19.95" customHeight="1">
      <c r="A70" s="5" t="str">
        <f>IF($G70="","",INDEX('EDS Lookup'!$D$6:$D$2819,$G70))</f>
        <v/>
      </c>
      <c r="B70" s="5" t="str">
        <f>IF($G70="","",INDEX('EDS Lookup'!$B$6:$B$2819,$G70))</f>
        <v/>
      </c>
      <c r="C70" s="17"/>
      <c r="D70" s="6"/>
      <c r="E70" s="7" t="str">
        <f>IF($G70="","",INDEX('EDS Lookup'!$F$6:$F$2819,$G70))</f>
        <v/>
      </c>
      <c r="F70" s="8" t="str">
        <f>IF($G70="","",INDEX('EDS Lookup'!$G$6:$G$2819,$G70))</f>
        <v/>
      </c>
      <c r="G70" t="str">
        <f>IF(47&lt;=$B$4,IFERROR(MATCH(47,'EDS Lookup'!$H$6:$H$2819,0),""),"")</f>
        <v/>
      </c>
      <c r="H70" t="str">
        <f t="shared" si="0"/>
        <v/>
      </c>
    </row>
    <row r="71" spans="1:8" ht="19.95" customHeight="1">
      <c r="A71" s="5" t="str">
        <f>IF($G71="","",INDEX('EDS Lookup'!$D$6:$D$2819,$G71))</f>
        <v/>
      </c>
      <c r="B71" s="5" t="str">
        <f>IF($G71="","",INDEX('EDS Lookup'!$B$6:$B$2819,$G71))</f>
        <v/>
      </c>
      <c r="C71" s="17"/>
      <c r="D71" s="6"/>
      <c r="E71" s="7" t="str">
        <f>IF($G71="","",INDEX('EDS Lookup'!$F$6:$F$2819,$G71))</f>
        <v/>
      </c>
      <c r="F71" s="8" t="str">
        <f>IF($G71="","",INDEX('EDS Lookup'!$G$6:$G$2819,$G71))</f>
        <v/>
      </c>
      <c r="G71" t="str">
        <f>IF(48&lt;=$B$4,IFERROR(MATCH(48,'EDS Lookup'!$H$6:$H$2819,0),""),"")</f>
        <v/>
      </c>
      <c r="H71" t="str">
        <f t="shared" si="0"/>
        <v/>
      </c>
    </row>
    <row r="72" spans="1:8" ht="19.95" customHeight="1">
      <c r="A72" s="5" t="str">
        <f>IF($G72="","",INDEX('EDS Lookup'!$D$6:$D$2819,$G72))</f>
        <v/>
      </c>
      <c r="B72" s="5" t="str">
        <f>IF($G72="","",INDEX('EDS Lookup'!$B$6:$B$2819,$G72))</f>
        <v/>
      </c>
      <c r="C72" s="17"/>
      <c r="D72" s="6"/>
      <c r="E72" s="7" t="str">
        <f>IF($G72="","",INDEX('EDS Lookup'!$F$6:$F$2819,$G72))</f>
        <v/>
      </c>
      <c r="F72" s="8" t="str">
        <f>IF($G72="","",INDEX('EDS Lookup'!$G$6:$G$2819,$G72))</f>
        <v/>
      </c>
      <c r="G72" t="str">
        <f>IF(49&lt;=$B$4,IFERROR(MATCH(49,'EDS Lookup'!$H$6:$H$2819,0),""),"")</f>
        <v/>
      </c>
      <c r="H72" t="str">
        <f t="shared" si="0"/>
        <v/>
      </c>
    </row>
    <row r="73" spans="1:8" ht="19.95" customHeight="1">
      <c r="A73" s="5" t="str">
        <f>IF($G73="","",INDEX('EDS Lookup'!$D$6:$D$2819,$G73))</f>
        <v/>
      </c>
      <c r="B73" s="5" t="str">
        <f>IF($G73="","",INDEX('EDS Lookup'!$B$6:$B$2819,$G73))</f>
        <v/>
      </c>
      <c r="C73" s="17"/>
      <c r="D73" s="6"/>
      <c r="E73" s="7" t="str">
        <f>IF($G73="","",INDEX('EDS Lookup'!$F$6:$F$2819,$G73))</f>
        <v/>
      </c>
      <c r="F73" s="8" t="str">
        <f>IF($G73="","",INDEX('EDS Lookup'!$G$6:$G$2819,$G73))</f>
        <v/>
      </c>
      <c r="G73" t="str">
        <f>IF(50&lt;=$B$4,IFERROR(MATCH(50,'EDS Lookup'!$H$6:$H$2819,0),""),"")</f>
        <v/>
      </c>
      <c r="H73" t="str">
        <f t="shared" si="0"/>
        <v/>
      </c>
    </row>
    <row r="74" spans="1:8" ht="19.95" customHeight="1">
      <c r="A74" s="5" t="str">
        <f>IF($G74="","",INDEX('EDS Lookup'!$D$6:$D$2819,$G74))</f>
        <v/>
      </c>
      <c r="B74" s="5" t="str">
        <f>IF($G74="","",INDEX('EDS Lookup'!$B$6:$B$2819,$G74))</f>
        <v/>
      </c>
      <c r="C74" s="17"/>
      <c r="D74" s="6"/>
      <c r="E74" s="7" t="str">
        <f>IF($G74="","",INDEX('EDS Lookup'!$F$6:$F$2819,$G74))</f>
        <v/>
      </c>
      <c r="F74" s="8" t="str">
        <f>IF($G74="","",INDEX('EDS Lookup'!$G$6:$G$2819,$G74))</f>
        <v/>
      </c>
      <c r="G74" t="str">
        <f>IF(51&lt;=$B$4,IFERROR(MATCH(51,'EDS Lookup'!$H$6:$H$2819,0),""),"")</f>
        <v/>
      </c>
      <c r="H74" t="str">
        <f t="shared" si="0"/>
        <v/>
      </c>
    </row>
    <row r="75" spans="1:8" ht="19.95" customHeight="1">
      <c r="A75" s="5" t="str">
        <f>IF($G75="","",INDEX('EDS Lookup'!$D$6:$D$2819,$G75))</f>
        <v/>
      </c>
      <c r="B75" s="5" t="str">
        <f>IF($G75="","",INDEX('EDS Lookup'!$B$6:$B$2819,$G75))</f>
        <v/>
      </c>
      <c r="C75" s="17"/>
      <c r="D75" s="6"/>
      <c r="E75" s="7" t="str">
        <f>IF($G75="","",INDEX('EDS Lookup'!$F$6:$F$2819,$G75))</f>
        <v/>
      </c>
      <c r="F75" s="8" t="str">
        <f>IF($G75="","",INDEX('EDS Lookup'!$G$6:$G$2819,$G75))</f>
        <v/>
      </c>
      <c r="G75" t="str">
        <f>IF(52&lt;=$B$4,IFERROR(MATCH(52,'EDS Lookup'!$H$6:$H$2819,0),""),"")</f>
        <v/>
      </c>
      <c r="H75" t="str">
        <f t="shared" si="0"/>
        <v/>
      </c>
    </row>
    <row r="76" spans="1:8" ht="19.95" customHeight="1">
      <c r="A76" s="5" t="str">
        <f>IF($G76="","",INDEX('EDS Lookup'!$D$6:$D$2819,$G76))</f>
        <v/>
      </c>
      <c r="B76" s="5" t="str">
        <f>IF($G76="","",INDEX('EDS Lookup'!$B$6:$B$2819,$G76))</f>
        <v/>
      </c>
      <c r="C76" s="17"/>
      <c r="D76" s="6"/>
      <c r="E76" s="7" t="str">
        <f>IF($G76="","",INDEX('EDS Lookup'!$F$6:$F$2819,$G76))</f>
        <v/>
      </c>
      <c r="F76" s="8" t="str">
        <f>IF($G76="","",INDEX('EDS Lookup'!$G$6:$G$2819,$G76))</f>
        <v/>
      </c>
      <c r="G76" t="str">
        <f>IF(53&lt;=$B$4,IFERROR(MATCH(53,'EDS Lookup'!$H$6:$H$2819,0),""),"")</f>
        <v/>
      </c>
      <c r="H76" t="str">
        <f t="shared" si="0"/>
        <v/>
      </c>
    </row>
    <row r="77" spans="1:8" ht="19.95" customHeight="1">
      <c r="A77" s="5" t="str">
        <f>IF($G77="","",INDEX('EDS Lookup'!$D$6:$D$2819,$G77))</f>
        <v/>
      </c>
      <c r="B77" s="5" t="str">
        <f>IF($G77="","",INDEX('EDS Lookup'!$B$6:$B$2819,$G77))</f>
        <v/>
      </c>
      <c r="C77" s="17"/>
      <c r="D77" s="6"/>
      <c r="E77" s="7" t="str">
        <f>IF($G77="","",INDEX('EDS Lookup'!$F$6:$F$2819,$G77))</f>
        <v/>
      </c>
      <c r="F77" s="8" t="str">
        <f>IF($G77="","",INDEX('EDS Lookup'!$G$6:$G$2819,$G77))</f>
        <v/>
      </c>
      <c r="G77" t="str">
        <f>IF(54&lt;=$B$4,IFERROR(MATCH(54,'EDS Lookup'!$H$6:$H$2819,0),""),"")</f>
        <v/>
      </c>
      <c r="H77" t="str">
        <f t="shared" si="0"/>
        <v/>
      </c>
    </row>
    <row r="78" spans="1:8" ht="19.95" customHeight="1">
      <c r="A78" s="5" t="str">
        <f>IF($G78="","",INDEX('EDS Lookup'!$D$6:$D$2819,$G78))</f>
        <v/>
      </c>
      <c r="B78" s="5" t="str">
        <f>IF($G78="","",INDEX('EDS Lookup'!$B$6:$B$2819,$G78))</f>
        <v/>
      </c>
      <c r="C78" s="17"/>
      <c r="D78" s="6"/>
      <c r="E78" s="7" t="str">
        <f>IF($G78="","",INDEX('EDS Lookup'!$F$6:$F$2819,$G78))</f>
        <v/>
      </c>
      <c r="F78" s="8" t="str">
        <f>IF($G78="","",INDEX('EDS Lookup'!$G$6:$G$2819,$G78))</f>
        <v/>
      </c>
      <c r="G78" t="str">
        <f>IF(55&lt;=$B$4,IFERROR(MATCH(55,'EDS Lookup'!$H$6:$H$2819,0),""),"")</f>
        <v/>
      </c>
      <c r="H78" t="str">
        <f t="shared" si="0"/>
        <v/>
      </c>
    </row>
    <row r="79" spans="1:8" ht="19.95" customHeight="1">
      <c r="A79" s="5" t="str">
        <f>IF($G79="","",INDEX('EDS Lookup'!$D$6:$D$2819,$G79))</f>
        <v/>
      </c>
      <c r="B79" s="5" t="str">
        <f>IF($G79="","",INDEX('EDS Lookup'!$B$6:$B$2819,$G79))</f>
        <v/>
      </c>
      <c r="C79" s="17"/>
      <c r="D79" s="6"/>
      <c r="E79" s="7" t="str">
        <f>IF($G79="","",INDEX('EDS Lookup'!$F$6:$F$2819,$G79))</f>
        <v/>
      </c>
      <c r="F79" s="8" t="str">
        <f>IF($G79="","",INDEX('EDS Lookup'!$G$6:$G$2819,$G79))</f>
        <v/>
      </c>
      <c r="G79" t="str">
        <f>IF(56&lt;=$B$4,IFERROR(MATCH(56,'EDS Lookup'!$H$6:$H$2819,0),""),"")</f>
        <v/>
      </c>
      <c r="H79" t="str">
        <f t="shared" si="0"/>
        <v/>
      </c>
    </row>
    <row r="80" spans="1:8" ht="19.95" customHeight="1">
      <c r="A80" s="5" t="str">
        <f>IF($G80="","",INDEX('EDS Lookup'!$D$6:$D$2819,$G80))</f>
        <v/>
      </c>
      <c r="B80" s="5" t="str">
        <f>IF($G80="","",INDEX('EDS Lookup'!$B$6:$B$2819,$G80))</f>
        <v/>
      </c>
      <c r="C80" s="17"/>
      <c r="D80" s="6"/>
      <c r="E80" s="7" t="str">
        <f>IF($G80="","",INDEX('EDS Lookup'!$F$6:$F$2819,$G80))</f>
        <v/>
      </c>
      <c r="F80" s="8" t="str">
        <f>IF($G80="","",INDEX('EDS Lookup'!$G$6:$G$2819,$G80))</f>
        <v/>
      </c>
      <c r="G80" t="str">
        <f>IF(57&lt;=$B$4,IFERROR(MATCH(57,'EDS Lookup'!$H$6:$H$2819,0),""),"")</f>
        <v/>
      </c>
      <c r="H80" t="str">
        <f t="shared" si="0"/>
        <v/>
      </c>
    </row>
    <row r="81" spans="1:8" ht="19.95" customHeight="1">
      <c r="A81" s="5" t="str">
        <f>IF($G81="","",INDEX('EDS Lookup'!$D$6:$D$2819,$G81))</f>
        <v/>
      </c>
      <c r="B81" s="5" t="str">
        <f>IF($G81="","",INDEX('EDS Lookup'!$B$6:$B$2819,$G81))</f>
        <v/>
      </c>
      <c r="C81" s="17"/>
      <c r="D81" s="6"/>
      <c r="E81" s="7" t="str">
        <f>IF($G81="","",INDEX('EDS Lookup'!$F$6:$F$2819,$G81))</f>
        <v/>
      </c>
      <c r="F81" s="8" t="str">
        <f>IF($G81="","",INDEX('EDS Lookup'!$G$6:$G$2819,$G81))</f>
        <v/>
      </c>
      <c r="G81" t="str">
        <f>IF(58&lt;=$B$4,IFERROR(MATCH(58,'EDS Lookup'!$H$6:$H$2819,0),""),"")</f>
        <v/>
      </c>
      <c r="H81" t="str">
        <f t="shared" si="0"/>
        <v/>
      </c>
    </row>
    <row r="82" spans="1:8" ht="19.95" customHeight="1">
      <c r="A82" s="5" t="str">
        <f>IF($G82="","",INDEX('EDS Lookup'!$D$6:$D$2819,$G82))</f>
        <v/>
      </c>
      <c r="B82" s="5" t="str">
        <f>IF($G82="","",INDEX('EDS Lookup'!$B$6:$B$2819,$G82))</f>
        <v/>
      </c>
      <c r="C82" s="17"/>
      <c r="D82" s="6"/>
      <c r="E82" s="7" t="str">
        <f>IF($G82="","",INDEX('EDS Lookup'!$F$6:$F$2819,$G82))</f>
        <v/>
      </c>
      <c r="F82" s="8" t="str">
        <f>IF($G82="","",INDEX('EDS Lookup'!$G$6:$G$2819,$G82))</f>
        <v/>
      </c>
      <c r="G82" t="str">
        <f>IF(59&lt;=$B$4,IFERROR(MATCH(59,'EDS Lookup'!$H$6:$H$2819,0),""),"")</f>
        <v/>
      </c>
      <c r="H82" t="str">
        <f t="shared" si="0"/>
        <v/>
      </c>
    </row>
    <row r="83" spans="1:8" ht="19.95" customHeight="1">
      <c r="A83" s="5" t="str">
        <f>IF($G83="","",INDEX('EDS Lookup'!$D$6:$D$2819,$G83))</f>
        <v/>
      </c>
      <c r="B83" s="5" t="str">
        <f>IF($G83="","",INDEX('EDS Lookup'!$B$6:$B$2819,$G83))</f>
        <v/>
      </c>
      <c r="C83" s="17"/>
      <c r="D83" s="6"/>
      <c r="E83" s="7" t="str">
        <f>IF($G83="","",INDEX('EDS Lookup'!$F$6:$F$2819,$G83))</f>
        <v/>
      </c>
      <c r="F83" s="8" t="str">
        <f>IF($G83="","",INDEX('EDS Lookup'!$G$6:$G$2819,$G83))</f>
        <v/>
      </c>
      <c r="G83" t="str">
        <f>IF(60&lt;=$B$4,IFERROR(MATCH(60,'EDS Lookup'!$H$6:$H$2819,0),""),"")</f>
        <v/>
      </c>
      <c r="H83" t="str">
        <f t="shared" si="0"/>
        <v/>
      </c>
    </row>
    <row r="84" spans="1:8" ht="19.95" customHeight="1">
      <c r="A84" s="5" t="str">
        <f>IF($G84="","",INDEX('EDS Lookup'!$D$6:$D$2819,$G84))</f>
        <v/>
      </c>
      <c r="B84" s="5" t="str">
        <f>IF($G84="","",INDEX('EDS Lookup'!$B$6:$B$2819,$G84))</f>
        <v/>
      </c>
      <c r="C84" s="17"/>
      <c r="D84" s="6"/>
      <c r="E84" s="7" t="str">
        <f>IF($G84="","",INDEX('EDS Lookup'!$F$6:$F$2819,$G84))</f>
        <v/>
      </c>
      <c r="F84" s="8" t="str">
        <f>IF($G84="","",INDEX('EDS Lookup'!$G$6:$G$2819,$G84))</f>
        <v/>
      </c>
      <c r="G84" t="str">
        <f>IF(61&lt;=$B$4,IFERROR(MATCH(61,'EDS Lookup'!$H$6:$H$2819,0),""),"")</f>
        <v/>
      </c>
      <c r="H84" t="str">
        <f t="shared" si="0"/>
        <v/>
      </c>
    </row>
    <row r="85" spans="1:8" ht="19.95" customHeight="1">
      <c r="A85" s="5" t="str">
        <f>IF($G85="","",INDEX('EDS Lookup'!$D$6:$D$2819,$G85))</f>
        <v/>
      </c>
      <c r="B85" s="5" t="str">
        <f>IF($G85="","",INDEX('EDS Lookup'!$B$6:$B$2819,$G85))</f>
        <v/>
      </c>
      <c r="C85" s="17"/>
      <c r="D85" s="6"/>
      <c r="E85" s="7" t="str">
        <f>IF($G85="","",INDEX('EDS Lookup'!$F$6:$F$2819,$G85))</f>
        <v/>
      </c>
      <c r="F85" s="8" t="str">
        <f>IF($G85="","",INDEX('EDS Lookup'!$G$6:$G$2819,$G85))</f>
        <v/>
      </c>
      <c r="G85" t="str">
        <f>IF(62&lt;=$B$4,IFERROR(MATCH(62,'EDS Lookup'!$H$6:$H$2819,0),""),"")</f>
        <v/>
      </c>
      <c r="H85" t="str">
        <f t="shared" si="0"/>
        <v/>
      </c>
    </row>
    <row r="86" spans="1:8" ht="19.95" customHeight="1">
      <c r="A86" s="5" t="str">
        <f>IF($G86="","",INDEX('EDS Lookup'!$D$6:$D$2819,$G86))</f>
        <v/>
      </c>
      <c r="B86" s="5" t="str">
        <f>IF($G86="","",INDEX('EDS Lookup'!$B$6:$B$2819,$G86))</f>
        <v/>
      </c>
      <c r="C86" s="17"/>
      <c r="D86" s="6"/>
      <c r="E86" s="7" t="str">
        <f>IF($G86="","",INDEX('EDS Lookup'!$F$6:$F$2819,$G86))</f>
        <v/>
      </c>
      <c r="F86" s="8" t="str">
        <f>IF($G86="","",INDEX('EDS Lookup'!$G$6:$G$2819,$G86))</f>
        <v/>
      </c>
      <c r="G86" t="str">
        <f>IF(63&lt;=$B$4,IFERROR(MATCH(63,'EDS Lookup'!$H$6:$H$2819,0),""),"")</f>
        <v/>
      </c>
      <c r="H86" t="str">
        <f t="shared" si="0"/>
        <v/>
      </c>
    </row>
    <row r="87" spans="1:8" ht="19.95" customHeight="1">
      <c r="A87" s="5" t="str">
        <f>IF($G87="","",INDEX('EDS Lookup'!$D$6:$D$2819,$G87))</f>
        <v/>
      </c>
      <c r="B87" s="5" t="str">
        <f>IF($G87="","",INDEX('EDS Lookup'!$B$6:$B$2819,$G87))</f>
        <v/>
      </c>
      <c r="C87" s="17"/>
      <c r="D87" s="6"/>
      <c r="E87" s="7" t="str">
        <f>IF($G87="","",INDEX('EDS Lookup'!$F$6:$F$2819,$G87))</f>
        <v/>
      </c>
      <c r="F87" s="8" t="str">
        <f>IF($G87="","",INDEX('EDS Lookup'!$G$6:$G$2819,$G87))</f>
        <v/>
      </c>
      <c r="G87" t="str">
        <f>IF(64&lt;=$B$4,IFERROR(MATCH(64,'EDS Lookup'!$H$6:$H$2819,0),""),"")</f>
        <v/>
      </c>
      <c r="H87" t="str">
        <f t="shared" si="0"/>
        <v/>
      </c>
    </row>
    <row r="88" spans="1:8" ht="19.95" customHeight="1">
      <c r="A88" s="5" t="str">
        <f>IF($G88="","",INDEX('EDS Lookup'!$D$6:$D$2819,$G88))</f>
        <v/>
      </c>
      <c r="B88" s="5" t="str">
        <f>IF($G88="","",INDEX('EDS Lookup'!$B$6:$B$2819,$G88))</f>
        <v/>
      </c>
      <c r="C88" s="17"/>
      <c r="D88" s="6"/>
      <c r="E88" s="7" t="str">
        <f>IF($G88="","",INDEX('EDS Lookup'!$F$6:$F$2819,$G88))</f>
        <v/>
      </c>
      <c r="F88" s="8" t="str">
        <f>IF($G88="","",INDEX('EDS Lookup'!$G$6:$G$2819,$G88))</f>
        <v/>
      </c>
      <c r="G88" t="str">
        <f>IF(65&lt;=$B$4,IFERROR(MATCH(65,'EDS Lookup'!$H$6:$H$2819,0),""),"")</f>
        <v/>
      </c>
      <c r="H88" t="str">
        <f t="shared" ref="H88:H151" si="1">IF(F88="&lt;5",5,IF(F88="&gt;95",95,IF(ISNUMBER(F88),F88,"")))</f>
        <v/>
      </c>
    </row>
    <row r="89" spans="1:8" ht="19.95" customHeight="1">
      <c r="A89" s="5" t="str">
        <f>IF($G89="","",INDEX('EDS Lookup'!$D$6:$D$2819,$G89))</f>
        <v/>
      </c>
      <c r="B89" s="5" t="str">
        <f>IF($G89="","",INDEX('EDS Lookup'!$B$6:$B$2819,$G89))</f>
        <v/>
      </c>
      <c r="C89" s="17"/>
      <c r="D89" s="6"/>
      <c r="E89" s="7" t="str">
        <f>IF($G89="","",INDEX('EDS Lookup'!$F$6:$F$2819,$G89))</f>
        <v/>
      </c>
      <c r="F89" s="8" t="str">
        <f>IF($G89="","",INDEX('EDS Lookup'!$G$6:$G$2819,$G89))</f>
        <v/>
      </c>
      <c r="G89" t="str">
        <f>IF(66&lt;=$B$4,IFERROR(MATCH(66,'EDS Lookup'!$H$6:$H$2819,0),""),"")</f>
        <v/>
      </c>
      <c r="H89" t="str">
        <f t="shared" si="1"/>
        <v/>
      </c>
    </row>
    <row r="90" spans="1:8" ht="19.95" customHeight="1">
      <c r="A90" s="5" t="str">
        <f>IF($G90="","",INDEX('EDS Lookup'!$D$6:$D$2819,$G90))</f>
        <v/>
      </c>
      <c r="B90" s="5" t="str">
        <f>IF($G90="","",INDEX('EDS Lookup'!$B$6:$B$2819,$G90))</f>
        <v/>
      </c>
      <c r="C90" s="17"/>
      <c r="D90" s="6"/>
      <c r="E90" s="7" t="str">
        <f>IF($G90="","",INDEX('EDS Lookup'!$F$6:$F$2819,$G90))</f>
        <v/>
      </c>
      <c r="F90" s="8" t="str">
        <f>IF($G90="","",INDEX('EDS Lookup'!$G$6:$G$2819,$G90))</f>
        <v/>
      </c>
      <c r="G90" t="str">
        <f>IF(67&lt;=$B$4,IFERROR(MATCH(67,'EDS Lookup'!$H$6:$H$2819,0),""),"")</f>
        <v/>
      </c>
      <c r="H90" t="str">
        <f t="shared" si="1"/>
        <v/>
      </c>
    </row>
    <row r="91" spans="1:8" ht="19.95" customHeight="1">
      <c r="A91" s="5" t="str">
        <f>IF($G91="","",INDEX('EDS Lookup'!$D$6:$D$2819,$G91))</f>
        <v/>
      </c>
      <c r="B91" s="5" t="str">
        <f>IF($G91="","",INDEX('EDS Lookup'!$B$6:$B$2819,$G91))</f>
        <v/>
      </c>
      <c r="C91" s="17"/>
      <c r="D91" s="6"/>
      <c r="E91" s="7" t="str">
        <f>IF($G91="","",INDEX('EDS Lookup'!$F$6:$F$2819,$G91))</f>
        <v/>
      </c>
      <c r="F91" s="8" t="str">
        <f>IF($G91="","",INDEX('EDS Lookup'!$G$6:$G$2819,$G91))</f>
        <v/>
      </c>
      <c r="G91" t="str">
        <f>IF(68&lt;=$B$4,IFERROR(MATCH(68,'EDS Lookup'!$H$6:$H$2819,0),""),"")</f>
        <v/>
      </c>
      <c r="H91" t="str">
        <f t="shared" si="1"/>
        <v/>
      </c>
    </row>
    <row r="92" spans="1:8" ht="19.95" customHeight="1">
      <c r="A92" s="5" t="str">
        <f>IF($G92="","",INDEX('EDS Lookup'!$D$6:$D$2819,$G92))</f>
        <v/>
      </c>
      <c r="B92" s="5" t="str">
        <f>IF($G92="","",INDEX('EDS Lookup'!$B$6:$B$2819,$G92))</f>
        <v/>
      </c>
      <c r="C92" s="17"/>
      <c r="D92" s="6"/>
      <c r="E92" s="7" t="str">
        <f>IF($G92="","",INDEX('EDS Lookup'!$F$6:$F$2819,$G92))</f>
        <v/>
      </c>
      <c r="F92" s="8" t="str">
        <f>IF($G92="","",INDEX('EDS Lookup'!$G$6:$G$2819,$G92))</f>
        <v/>
      </c>
      <c r="G92" t="str">
        <f>IF(69&lt;=$B$4,IFERROR(MATCH(69,'EDS Lookup'!$H$6:$H$2819,0),""),"")</f>
        <v/>
      </c>
      <c r="H92" t="str">
        <f t="shared" si="1"/>
        <v/>
      </c>
    </row>
    <row r="93" spans="1:8" ht="19.95" customHeight="1">
      <c r="A93" s="5" t="str">
        <f>IF($G93="","",INDEX('EDS Lookup'!$D$6:$D$2819,$G93))</f>
        <v/>
      </c>
      <c r="B93" s="5" t="str">
        <f>IF($G93="","",INDEX('EDS Lookup'!$B$6:$B$2819,$G93))</f>
        <v/>
      </c>
      <c r="C93" s="17"/>
      <c r="D93" s="6"/>
      <c r="E93" s="7" t="str">
        <f>IF($G93="","",INDEX('EDS Lookup'!$F$6:$F$2819,$G93))</f>
        <v/>
      </c>
      <c r="F93" s="8" t="str">
        <f>IF($G93="","",INDEX('EDS Lookup'!$G$6:$G$2819,$G93))</f>
        <v/>
      </c>
      <c r="G93" t="str">
        <f>IF(70&lt;=$B$4,IFERROR(MATCH(70,'EDS Lookup'!$H$6:$H$2819,0),""),"")</f>
        <v/>
      </c>
      <c r="H93" t="str">
        <f t="shared" si="1"/>
        <v/>
      </c>
    </row>
    <row r="94" spans="1:8" ht="19.95" customHeight="1">
      <c r="A94" s="5" t="str">
        <f>IF($G94="","",INDEX('EDS Lookup'!$D$6:$D$2819,$G94))</f>
        <v/>
      </c>
      <c r="B94" s="5" t="str">
        <f>IF($G94="","",INDEX('EDS Lookup'!$B$6:$B$2819,$G94))</f>
        <v/>
      </c>
      <c r="C94" s="17"/>
      <c r="D94" s="6"/>
      <c r="E94" s="7" t="str">
        <f>IF($G94="","",INDEX('EDS Lookup'!$F$6:$F$2819,$G94))</f>
        <v/>
      </c>
      <c r="F94" s="8" t="str">
        <f>IF($G94="","",INDEX('EDS Lookup'!$G$6:$G$2819,$G94))</f>
        <v/>
      </c>
      <c r="G94" t="str">
        <f>IF(71&lt;=$B$4,IFERROR(MATCH(71,'EDS Lookup'!$H$6:$H$2819,0),""),"")</f>
        <v/>
      </c>
      <c r="H94" t="str">
        <f t="shared" si="1"/>
        <v/>
      </c>
    </row>
    <row r="95" spans="1:8" ht="19.95" customHeight="1">
      <c r="A95" s="5" t="str">
        <f>IF($G95="","",INDEX('EDS Lookup'!$D$6:$D$2819,$G95))</f>
        <v/>
      </c>
      <c r="B95" s="5" t="str">
        <f>IF($G95="","",INDEX('EDS Lookup'!$B$6:$B$2819,$G95))</f>
        <v/>
      </c>
      <c r="C95" s="17"/>
      <c r="D95" s="6"/>
      <c r="E95" s="7" t="str">
        <f>IF($G95="","",INDEX('EDS Lookup'!$F$6:$F$2819,$G95))</f>
        <v/>
      </c>
      <c r="F95" s="8" t="str">
        <f>IF($G95="","",INDEX('EDS Lookup'!$G$6:$G$2819,$G95))</f>
        <v/>
      </c>
      <c r="G95" t="str">
        <f>IF(72&lt;=$B$4,IFERROR(MATCH(72,'EDS Lookup'!$H$6:$H$2819,0),""),"")</f>
        <v/>
      </c>
      <c r="H95" t="str">
        <f t="shared" si="1"/>
        <v/>
      </c>
    </row>
    <row r="96" spans="1:8" ht="19.95" customHeight="1">
      <c r="A96" s="5" t="str">
        <f>IF($G96="","",INDEX('EDS Lookup'!$D$6:$D$2819,$G96))</f>
        <v/>
      </c>
      <c r="B96" s="5" t="str">
        <f>IF($G96="","",INDEX('EDS Lookup'!$B$6:$B$2819,$G96))</f>
        <v/>
      </c>
      <c r="C96" s="17"/>
      <c r="D96" s="6"/>
      <c r="E96" s="7" t="str">
        <f>IF($G96="","",INDEX('EDS Lookup'!$F$6:$F$2819,$G96))</f>
        <v/>
      </c>
      <c r="F96" s="8" t="str">
        <f>IF($G96="","",INDEX('EDS Lookup'!$G$6:$G$2819,$G96))</f>
        <v/>
      </c>
      <c r="G96" t="str">
        <f>IF(73&lt;=$B$4,IFERROR(MATCH(73,'EDS Lookup'!$H$6:$H$2819,0),""),"")</f>
        <v/>
      </c>
      <c r="H96" t="str">
        <f t="shared" si="1"/>
        <v/>
      </c>
    </row>
    <row r="97" spans="1:8" ht="19.95" customHeight="1">
      <c r="A97" s="5" t="str">
        <f>IF($G97="","",INDEX('EDS Lookup'!$D$6:$D$2819,$G97))</f>
        <v/>
      </c>
      <c r="B97" s="5" t="str">
        <f>IF($G97="","",INDEX('EDS Lookup'!$B$6:$B$2819,$G97))</f>
        <v/>
      </c>
      <c r="C97" s="17"/>
      <c r="D97" s="6"/>
      <c r="E97" s="7" t="str">
        <f>IF($G97="","",INDEX('EDS Lookup'!$F$6:$F$2819,$G97))</f>
        <v/>
      </c>
      <c r="F97" s="8" t="str">
        <f>IF($G97="","",INDEX('EDS Lookup'!$G$6:$G$2819,$G97))</f>
        <v/>
      </c>
      <c r="G97" t="str">
        <f>IF(74&lt;=$B$4,IFERROR(MATCH(74,'EDS Lookup'!$H$6:$H$2819,0),""),"")</f>
        <v/>
      </c>
      <c r="H97" t="str">
        <f t="shared" si="1"/>
        <v/>
      </c>
    </row>
    <row r="98" spans="1:8" ht="19.95" customHeight="1">
      <c r="A98" s="5" t="str">
        <f>IF($G98="","",INDEX('EDS Lookup'!$D$6:$D$2819,$G98))</f>
        <v/>
      </c>
      <c r="B98" s="5" t="str">
        <f>IF($G98="","",INDEX('EDS Lookup'!$B$6:$B$2819,$G98))</f>
        <v/>
      </c>
      <c r="C98" s="17"/>
      <c r="D98" s="6"/>
      <c r="E98" s="7" t="str">
        <f>IF($G98="","",INDEX('EDS Lookup'!$F$6:$F$2819,$G98))</f>
        <v/>
      </c>
      <c r="F98" s="8" t="str">
        <f>IF($G98="","",INDEX('EDS Lookup'!$G$6:$G$2819,$G98))</f>
        <v/>
      </c>
      <c r="G98" t="str">
        <f>IF(75&lt;=$B$4,IFERROR(MATCH(75,'EDS Lookup'!$H$6:$H$2819,0),""),"")</f>
        <v/>
      </c>
      <c r="H98" t="str">
        <f t="shared" si="1"/>
        <v/>
      </c>
    </row>
    <row r="99" spans="1:8" ht="19.95" customHeight="1">
      <c r="A99" s="5" t="str">
        <f>IF($G99="","",INDEX('EDS Lookup'!$D$6:$D$2819,$G99))</f>
        <v/>
      </c>
      <c r="B99" s="5" t="str">
        <f>IF($G99="","",INDEX('EDS Lookup'!$B$6:$B$2819,$G99))</f>
        <v/>
      </c>
      <c r="C99" s="17"/>
      <c r="D99" s="6"/>
      <c r="E99" s="7" t="str">
        <f>IF($G99="","",INDEX('EDS Lookup'!$F$6:$F$2819,$G99))</f>
        <v/>
      </c>
      <c r="F99" s="8" t="str">
        <f>IF($G99="","",INDEX('EDS Lookup'!$G$6:$G$2819,$G99))</f>
        <v/>
      </c>
      <c r="G99" t="str">
        <f>IF(76&lt;=$B$4,IFERROR(MATCH(76,'EDS Lookup'!$H$6:$H$2819,0),""),"")</f>
        <v/>
      </c>
      <c r="H99" t="str">
        <f t="shared" si="1"/>
        <v/>
      </c>
    </row>
    <row r="100" spans="1:8" ht="19.95" customHeight="1">
      <c r="A100" s="5" t="str">
        <f>IF($G100="","",INDEX('EDS Lookup'!$D$6:$D$2819,$G100))</f>
        <v/>
      </c>
      <c r="B100" s="5" t="str">
        <f>IF($G100="","",INDEX('EDS Lookup'!$B$6:$B$2819,$G100))</f>
        <v/>
      </c>
      <c r="C100" s="17"/>
      <c r="D100" s="6"/>
      <c r="E100" s="7" t="str">
        <f>IF($G100="","",INDEX('EDS Lookup'!$F$6:$F$2819,$G100))</f>
        <v/>
      </c>
      <c r="F100" s="8" t="str">
        <f>IF($G100="","",INDEX('EDS Lookup'!$G$6:$G$2819,$G100))</f>
        <v/>
      </c>
      <c r="G100" t="str">
        <f>IF(77&lt;=$B$4,IFERROR(MATCH(77,'EDS Lookup'!$H$6:$H$2819,0),""),"")</f>
        <v/>
      </c>
      <c r="H100" t="str">
        <f t="shared" si="1"/>
        <v/>
      </c>
    </row>
    <row r="101" spans="1:8" ht="19.95" customHeight="1">
      <c r="A101" s="5" t="str">
        <f>IF($G101="","",INDEX('EDS Lookup'!$D$6:$D$2819,$G101))</f>
        <v/>
      </c>
      <c r="B101" s="5" t="str">
        <f>IF($G101="","",INDEX('EDS Lookup'!$B$6:$B$2819,$G101))</f>
        <v/>
      </c>
      <c r="C101" s="17"/>
      <c r="D101" s="6"/>
      <c r="E101" s="7" t="str">
        <f>IF($G101="","",INDEX('EDS Lookup'!$F$6:$F$2819,$G101))</f>
        <v/>
      </c>
      <c r="F101" s="8" t="str">
        <f>IF($G101="","",INDEX('EDS Lookup'!$G$6:$G$2819,$G101))</f>
        <v/>
      </c>
      <c r="G101" t="str">
        <f>IF(78&lt;=$B$4,IFERROR(MATCH(78,'EDS Lookup'!$H$6:$H$2819,0),""),"")</f>
        <v/>
      </c>
      <c r="H101" t="str">
        <f t="shared" si="1"/>
        <v/>
      </c>
    </row>
    <row r="102" spans="1:8" ht="19.95" customHeight="1">
      <c r="A102" s="5" t="str">
        <f>IF($G102="","",INDEX('EDS Lookup'!$D$6:$D$2819,$G102))</f>
        <v/>
      </c>
      <c r="B102" s="5" t="str">
        <f>IF($G102="","",INDEX('EDS Lookup'!$B$6:$B$2819,$G102))</f>
        <v/>
      </c>
      <c r="C102" s="17"/>
      <c r="D102" s="6"/>
      <c r="E102" s="7" t="str">
        <f>IF($G102="","",INDEX('EDS Lookup'!$F$6:$F$2819,$G102))</f>
        <v/>
      </c>
      <c r="F102" s="8" t="str">
        <f>IF($G102="","",INDEX('EDS Lookup'!$G$6:$G$2819,$G102))</f>
        <v/>
      </c>
      <c r="G102" t="str">
        <f>IF(79&lt;=$B$4,IFERROR(MATCH(79,'EDS Lookup'!$H$6:$H$2819,0),""),"")</f>
        <v/>
      </c>
      <c r="H102" t="str">
        <f t="shared" si="1"/>
        <v/>
      </c>
    </row>
    <row r="103" spans="1:8" ht="19.95" customHeight="1">
      <c r="A103" s="5" t="str">
        <f>IF($G103="","",INDEX('EDS Lookup'!$D$6:$D$2819,$G103))</f>
        <v/>
      </c>
      <c r="B103" s="5" t="str">
        <f>IF($G103="","",INDEX('EDS Lookup'!$B$6:$B$2819,$G103))</f>
        <v/>
      </c>
      <c r="C103" s="17"/>
      <c r="D103" s="6"/>
      <c r="E103" s="7" t="str">
        <f>IF($G103="","",INDEX('EDS Lookup'!$F$6:$F$2819,$G103))</f>
        <v/>
      </c>
      <c r="F103" s="8" t="str">
        <f>IF($G103="","",INDEX('EDS Lookup'!$G$6:$G$2819,$G103))</f>
        <v/>
      </c>
      <c r="G103" t="str">
        <f>IF(80&lt;=$B$4,IFERROR(MATCH(80,'EDS Lookup'!$H$6:$H$2819,0),""),"")</f>
        <v/>
      </c>
      <c r="H103" t="str">
        <f t="shared" si="1"/>
        <v/>
      </c>
    </row>
    <row r="104" spans="1:8" ht="19.95" customHeight="1">
      <c r="A104" s="5" t="str">
        <f>IF($G104="","",INDEX('EDS Lookup'!$D$6:$D$2819,$G104))</f>
        <v/>
      </c>
      <c r="B104" s="5" t="str">
        <f>IF($G104="","",INDEX('EDS Lookup'!$B$6:$B$2819,$G104))</f>
        <v/>
      </c>
      <c r="C104" s="17"/>
      <c r="D104" s="6"/>
      <c r="E104" s="7" t="str">
        <f>IF($G104="","",INDEX('EDS Lookup'!$F$6:$F$2819,$G104))</f>
        <v/>
      </c>
      <c r="F104" s="8" t="str">
        <f>IF($G104="","",INDEX('EDS Lookup'!$G$6:$G$2819,$G104))</f>
        <v/>
      </c>
      <c r="G104" t="str">
        <f>IF(81&lt;=$B$4,IFERROR(MATCH(81,'EDS Lookup'!$H$6:$H$2819,0),""),"")</f>
        <v/>
      </c>
      <c r="H104" t="str">
        <f t="shared" si="1"/>
        <v/>
      </c>
    </row>
    <row r="105" spans="1:8" ht="19.95" customHeight="1">
      <c r="A105" s="5" t="str">
        <f>IF($G105="","",INDEX('EDS Lookup'!$D$6:$D$2819,$G105))</f>
        <v/>
      </c>
      <c r="B105" s="5" t="str">
        <f>IF($G105="","",INDEX('EDS Lookup'!$B$6:$B$2819,$G105))</f>
        <v/>
      </c>
      <c r="C105" s="17"/>
      <c r="D105" s="6"/>
      <c r="E105" s="7" t="str">
        <f>IF($G105="","",INDEX('EDS Lookup'!$F$6:$F$2819,$G105))</f>
        <v/>
      </c>
      <c r="F105" s="8" t="str">
        <f>IF($G105="","",INDEX('EDS Lookup'!$G$6:$G$2819,$G105))</f>
        <v/>
      </c>
      <c r="G105" t="str">
        <f>IF(82&lt;=$B$4,IFERROR(MATCH(82,'EDS Lookup'!$H$6:$H$2819,0),""),"")</f>
        <v/>
      </c>
      <c r="H105" t="str">
        <f t="shared" si="1"/>
        <v/>
      </c>
    </row>
    <row r="106" spans="1:8" ht="19.95" customHeight="1">
      <c r="A106" s="5" t="str">
        <f>IF($G106="","",INDEX('EDS Lookup'!$D$6:$D$2819,$G106))</f>
        <v/>
      </c>
      <c r="B106" s="5" t="str">
        <f>IF($G106="","",INDEX('EDS Lookup'!$B$6:$B$2819,$G106))</f>
        <v/>
      </c>
      <c r="C106" s="17"/>
      <c r="D106" s="6"/>
      <c r="E106" s="7" t="str">
        <f>IF($G106="","",INDEX('EDS Lookup'!$F$6:$F$2819,$G106))</f>
        <v/>
      </c>
      <c r="F106" s="8" t="str">
        <f>IF($G106="","",INDEX('EDS Lookup'!$G$6:$G$2819,$G106))</f>
        <v/>
      </c>
      <c r="G106" t="str">
        <f>IF(83&lt;=$B$4,IFERROR(MATCH(83,'EDS Lookup'!$H$6:$H$2819,0),""),"")</f>
        <v/>
      </c>
      <c r="H106" t="str">
        <f t="shared" si="1"/>
        <v/>
      </c>
    </row>
    <row r="107" spans="1:8" ht="19.95" customHeight="1">
      <c r="A107" s="5" t="str">
        <f>IF($G107="","",INDEX('EDS Lookup'!$D$6:$D$2819,$G107))</f>
        <v/>
      </c>
      <c r="B107" s="5" t="str">
        <f>IF($G107="","",INDEX('EDS Lookup'!$B$6:$B$2819,$G107))</f>
        <v/>
      </c>
      <c r="C107" s="17"/>
      <c r="D107" s="6"/>
      <c r="E107" s="7" t="str">
        <f>IF($G107="","",INDEX('EDS Lookup'!$F$6:$F$2819,$G107))</f>
        <v/>
      </c>
      <c r="F107" s="8" t="str">
        <f>IF($G107="","",INDEX('EDS Lookup'!$G$6:$G$2819,$G107))</f>
        <v/>
      </c>
      <c r="G107" t="str">
        <f>IF(84&lt;=$B$4,IFERROR(MATCH(84,'EDS Lookup'!$H$6:$H$2819,0),""),"")</f>
        <v/>
      </c>
      <c r="H107" t="str">
        <f t="shared" si="1"/>
        <v/>
      </c>
    </row>
    <row r="108" spans="1:8" ht="19.95" customHeight="1">
      <c r="A108" s="5" t="str">
        <f>IF($G108="","",INDEX('EDS Lookup'!$D$6:$D$2819,$G108))</f>
        <v/>
      </c>
      <c r="B108" s="5" t="str">
        <f>IF($G108="","",INDEX('EDS Lookup'!$B$6:$B$2819,$G108))</f>
        <v/>
      </c>
      <c r="C108" s="17"/>
      <c r="D108" s="6"/>
      <c r="E108" s="7" t="str">
        <f>IF($G108="","",INDEX('EDS Lookup'!$F$6:$F$2819,$G108))</f>
        <v/>
      </c>
      <c r="F108" s="8" t="str">
        <f>IF($G108="","",INDEX('EDS Lookup'!$G$6:$G$2819,$G108))</f>
        <v/>
      </c>
      <c r="G108" t="str">
        <f>IF(85&lt;=$B$4,IFERROR(MATCH(85,'EDS Lookup'!$H$6:$H$2819,0),""),"")</f>
        <v/>
      </c>
      <c r="H108" t="str">
        <f t="shared" si="1"/>
        <v/>
      </c>
    </row>
    <row r="109" spans="1:8" ht="19.95" customHeight="1">
      <c r="A109" s="5" t="str">
        <f>IF($G109="","",INDEX('EDS Lookup'!$D$6:$D$2819,$G109))</f>
        <v/>
      </c>
      <c r="B109" s="5" t="str">
        <f>IF($G109="","",INDEX('EDS Lookup'!$B$6:$B$2819,$G109))</f>
        <v/>
      </c>
      <c r="C109" s="17"/>
      <c r="D109" s="6"/>
      <c r="E109" s="7" t="str">
        <f>IF($G109="","",INDEX('EDS Lookup'!$F$6:$F$2819,$G109))</f>
        <v/>
      </c>
      <c r="F109" s="8" t="str">
        <f>IF($G109="","",INDEX('EDS Lookup'!$G$6:$G$2819,$G109))</f>
        <v/>
      </c>
      <c r="G109" t="str">
        <f>IF(86&lt;=$B$4,IFERROR(MATCH(86,'EDS Lookup'!$H$6:$H$2819,0),""),"")</f>
        <v/>
      </c>
      <c r="H109" t="str">
        <f t="shared" si="1"/>
        <v/>
      </c>
    </row>
    <row r="110" spans="1:8" ht="19.95" customHeight="1">
      <c r="A110" s="5" t="str">
        <f>IF($G110="","",INDEX('EDS Lookup'!$D$6:$D$2819,$G110))</f>
        <v/>
      </c>
      <c r="B110" s="5" t="str">
        <f>IF($G110="","",INDEX('EDS Lookup'!$B$6:$B$2819,$G110))</f>
        <v/>
      </c>
      <c r="C110" s="17"/>
      <c r="D110" s="6"/>
      <c r="E110" s="7" t="str">
        <f>IF($G110="","",INDEX('EDS Lookup'!$F$6:$F$2819,$G110))</f>
        <v/>
      </c>
      <c r="F110" s="8" t="str">
        <f>IF($G110="","",INDEX('EDS Lookup'!$G$6:$G$2819,$G110))</f>
        <v/>
      </c>
      <c r="G110" t="str">
        <f>IF(87&lt;=$B$4,IFERROR(MATCH(87,'EDS Lookup'!$H$6:$H$2819,0),""),"")</f>
        <v/>
      </c>
      <c r="H110" t="str">
        <f t="shared" si="1"/>
        <v/>
      </c>
    </row>
    <row r="111" spans="1:8" ht="19.95" customHeight="1">
      <c r="A111" s="5" t="str">
        <f>IF($G111="","",INDEX('EDS Lookup'!$D$6:$D$2819,$G111))</f>
        <v/>
      </c>
      <c r="B111" s="5" t="str">
        <f>IF($G111="","",INDEX('EDS Lookup'!$B$6:$B$2819,$G111))</f>
        <v/>
      </c>
      <c r="C111" s="17"/>
      <c r="D111" s="6"/>
      <c r="E111" s="7" t="str">
        <f>IF($G111="","",INDEX('EDS Lookup'!$F$6:$F$2819,$G111))</f>
        <v/>
      </c>
      <c r="F111" s="8" t="str">
        <f>IF($G111="","",INDEX('EDS Lookup'!$G$6:$G$2819,$G111))</f>
        <v/>
      </c>
      <c r="G111" t="str">
        <f>IF(88&lt;=$B$4,IFERROR(MATCH(88,'EDS Lookup'!$H$6:$H$2819,0),""),"")</f>
        <v/>
      </c>
      <c r="H111" t="str">
        <f t="shared" si="1"/>
        <v/>
      </c>
    </row>
    <row r="112" spans="1:8" ht="19.95" customHeight="1">
      <c r="A112" s="5" t="str">
        <f>IF($G112="","",INDEX('EDS Lookup'!$D$6:$D$2819,$G112))</f>
        <v/>
      </c>
      <c r="B112" s="5" t="str">
        <f>IF($G112="","",INDEX('EDS Lookup'!$B$6:$B$2819,$G112))</f>
        <v/>
      </c>
      <c r="C112" s="17"/>
      <c r="D112" s="6"/>
      <c r="E112" s="7" t="str">
        <f>IF($G112="","",INDEX('EDS Lookup'!$F$6:$F$2819,$G112))</f>
        <v/>
      </c>
      <c r="F112" s="8" t="str">
        <f>IF($G112="","",INDEX('EDS Lookup'!$G$6:$G$2819,$G112))</f>
        <v/>
      </c>
      <c r="G112" t="str">
        <f>IF(89&lt;=$B$4,IFERROR(MATCH(89,'EDS Lookup'!$H$6:$H$2819,0),""),"")</f>
        <v/>
      </c>
      <c r="H112" t="str">
        <f t="shared" si="1"/>
        <v/>
      </c>
    </row>
    <row r="113" spans="1:8" ht="19.95" customHeight="1">
      <c r="A113" s="5" t="str">
        <f>IF($G113="","",INDEX('EDS Lookup'!$D$6:$D$2819,$G113))</f>
        <v/>
      </c>
      <c r="B113" s="5" t="str">
        <f>IF($G113="","",INDEX('EDS Lookup'!$B$6:$B$2819,$G113))</f>
        <v/>
      </c>
      <c r="C113" s="17"/>
      <c r="D113" s="6"/>
      <c r="E113" s="7" t="str">
        <f>IF($G113="","",INDEX('EDS Lookup'!$F$6:$F$2819,$G113))</f>
        <v/>
      </c>
      <c r="F113" s="8" t="str">
        <f>IF($G113="","",INDEX('EDS Lookup'!$G$6:$G$2819,$G113))</f>
        <v/>
      </c>
      <c r="G113" t="str">
        <f>IF(90&lt;=$B$4,IFERROR(MATCH(90,'EDS Lookup'!$H$6:$H$2819,0),""),"")</f>
        <v/>
      </c>
      <c r="H113" t="str">
        <f t="shared" si="1"/>
        <v/>
      </c>
    </row>
    <row r="114" spans="1:8" ht="19.95" customHeight="1">
      <c r="A114" s="5" t="str">
        <f>IF($G114="","",INDEX('EDS Lookup'!$D$6:$D$2819,$G114))</f>
        <v/>
      </c>
      <c r="B114" s="5" t="str">
        <f>IF($G114="","",INDEX('EDS Lookup'!$B$6:$B$2819,$G114))</f>
        <v/>
      </c>
      <c r="C114" s="17"/>
      <c r="D114" s="6"/>
      <c r="E114" s="7" t="str">
        <f>IF($G114="","",INDEX('EDS Lookup'!$F$6:$F$2819,$G114))</f>
        <v/>
      </c>
      <c r="F114" s="8" t="str">
        <f>IF($G114="","",INDEX('EDS Lookup'!$G$6:$G$2819,$G114))</f>
        <v/>
      </c>
      <c r="G114" t="str">
        <f>IF(91&lt;=$B$4,IFERROR(MATCH(91,'EDS Lookup'!$H$6:$H$2819,0),""),"")</f>
        <v/>
      </c>
      <c r="H114" t="str">
        <f t="shared" si="1"/>
        <v/>
      </c>
    </row>
    <row r="115" spans="1:8" ht="19.95" customHeight="1">
      <c r="A115" s="5" t="str">
        <f>IF($G115="","",INDEX('EDS Lookup'!$D$6:$D$2819,$G115))</f>
        <v/>
      </c>
      <c r="B115" s="5" t="str">
        <f>IF($G115="","",INDEX('EDS Lookup'!$B$6:$B$2819,$G115))</f>
        <v/>
      </c>
      <c r="C115" s="17"/>
      <c r="D115" s="6"/>
      <c r="E115" s="7" t="str">
        <f>IF($G115="","",INDEX('EDS Lookup'!$F$6:$F$2819,$G115))</f>
        <v/>
      </c>
      <c r="F115" s="8" t="str">
        <f>IF($G115="","",INDEX('EDS Lookup'!$G$6:$G$2819,$G115))</f>
        <v/>
      </c>
      <c r="G115" t="str">
        <f>IF(92&lt;=$B$4,IFERROR(MATCH(92,'EDS Lookup'!$H$6:$H$2819,0),""),"")</f>
        <v/>
      </c>
      <c r="H115" t="str">
        <f t="shared" si="1"/>
        <v/>
      </c>
    </row>
    <row r="116" spans="1:8" ht="19.95" customHeight="1">
      <c r="A116" s="5" t="str">
        <f>IF($G116="","",INDEX('EDS Lookup'!$D$6:$D$2819,$G116))</f>
        <v/>
      </c>
      <c r="B116" s="5" t="str">
        <f>IF($G116="","",INDEX('EDS Lookup'!$B$6:$B$2819,$G116))</f>
        <v/>
      </c>
      <c r="C116" s="17"/>
      <c r="D116" s="6"/>
      <c r="E116" s="7" t="str">
        <f>IF($G116="","",INDEX('EDS Lookup'!$F$6:$F$2819,$G116))</f>
        <v/>
      </c>
      <c r="F116" s="8" t="str">
        <f>IF($G116="","",INDEX('EDS Lookup'!$G$6:$G$2819,$G116))</f>
        <v/>
      </c>
      <c r="G116" t="str">
        <f>IF(93&lt;=$B$4,IFERROR(MATCH(93,'EDS Lookup'!$H$6:$H$2819,0),""),"")</f>
        <v/>
      </c>
      <c r="H116" t="str">
        <f t="shared" si="1"/>
        <v/>
      </c>
    </row>
    <row r="117" spans="1:8" ht="19.95" customHeight="1">
      <c r="A117" s="5" t="str">
        <f>IF($G117="","",INDEX('EDS Lookup'!$D$6:$D$2819,$G117))</f>
        <v/>
      </c>
      <c r="B117" s="5" t="str">
        <f>IF($G117="","",INDEX('EDS Lookup'!$B$6:$B$2819,$G117))</f>
        <v/>
      </c>
      <c r="C117" s="17"/>
      <c r="D117" s="6"/>
      <c r="E117" s="7" t="str">
        <f>IF($G117="","",INDEX('EDS Lookup'!$F$6:$F$2819,$G117))</f>
        <v/>
      </c>
      <c r="F117" s="8" t="str">
        <f>IF($G117="","",INDEX('EDS Lookup'!$G$6:$G$2819,$G117))</f>
        <v/>
      </c>
      <c r="G117" t="str">
        <f>IF(94&lt;=$B$4,IFERROR(MATCH(94,'EDS Lookup'!$H$6:$H$2819,0),""),"")</f>
        <v/>
      </c>
      <c r="H117" t="str">
        <f t="shared" si="1"/>
        <v/>
      </c>
    </row>
    <row r="118" spans="1:8" ht="19.95" customHeight="1">
      <c r="A118" s="5" t="str">
        <f>IF($G118="","",INDEX('EDS Lookup'!$D$6:$D$2819,$G118))</f>
        <v/>
      </c>
      <c r="B118" s="5" t="str">
        <f>IF($G118="","",INDEX('EDS Lookup'!$B$6:$B$2819,$G118))</f>
        <v/>
      </c>
      <c r="C118" s="17"/>
      <c r="D118" s="6"/>
      <c r="E118" s="7" t="str">
        <f>IF($G118="","",INDEX('EDS Lookup'!$F$6:$F$2819,$G118))</f>
        <v/>
      </c>
      <c r="F118" s="8" t="str">
        <f>IF($G118="","",INDEX('EDS Lookup'!$G$6:$G$2819,$G118))</f>
        <v/>
      </c>
      <c r="G118" t="str">
        <f>IF(95&lt;=$B$4,IFERROR(MATCH(95,'EDS Lookup'!$H$6:$H$2819,0),""),"")</f>
        <v/>
      </c>
      <c r="H118" t="str">
        <f t="shared" si="1"/>
        <v/>
      </c>
    </row>
    <row r="119" spans="1:8" ht="19.95" customHeight="1">
      <c r="A119" s="5" t="str">
        <f>IF($G119="","",INDEX('EDS Lookup'!$D$6:$D$2819,$G119))</f>
        <v/>
      </c>
      <c r="B119" s="5" t="str">
        <f>IF($G119="","",INDEX('EDS Lookup'!$B$6:$B$2819,$G119))</f>
        <v/>
      </c>
      <c r="C119" s="17"/>
      <c r="D119" s="6"/>
      <c r="E119" s="7" t="str">
        <f>IF($G119="","",INDEX('EDS Lookup'!$F$6:$F$2819,$G119))</f>
        <v/>
      </c>
      <c r="F119" s="8" t="str">
        <f>IF($G119="","",INDEX('EDS Lookup'!$G$6:$G$2819,$G119))</f>
        <v/>
      </c>
      <c r="G119" t="str">
        <f>IF(96&lt;=$B$4,IFERROR(MATCH(96,'EDS Lookup'!$H$6:$H$2819,0),""),"")</f>
        <v/>
      </c>
      <c r="H119" t="str">
        <f t="shared" si="1"/>
        <v/>
      </c>
    </row>
    <row r="120" spans="1:8" ht="19.95" customHeight="1">
      <c r="A120" s="5" t="str">
        <f>IF($G120="","",INDEX('EDS Lookup'!$D$6:$D$2819,$G120))</f>
        <v/>
      </c>
      <c r="B120" s="5" t="str">
        <f>IF($G120="","",INDEX('EDS Lookup'!$B$6:$B$2819,$G120))</f>
        <v/>
      </c>
      <c r="C120" s="17"/>
      <c r="D120" s="6"/>
      <c r="E120" s="7" t="str">
        <f>IF($G120="","",INDEX('EDS Lookup'!$F$6:$F$2819,$G120))</f>
        <v/>
      </c>
      <c r="F120" s="8" t="str">
        <f>IF($G120="","",INDEX('EDS Lookup'!$G$6:$G$2819,$G120))</f>
        <v/>
      </c>
      <c r="G120" t="str">
        <f>IF(97&lt;=$B$4,IFERROR(MATCH(97,'EDS Lookup'!$H$6:$H$2819,0),""),"")</f>
        <v/>
      </c>
      <c r="H120" t="str">
        <f t="shared" si="1"/>
        <v/>
      </c>
    </row>
    <row r="121" spans="1:8" ht="19.95" customHeight="1">
      <c r="A121" s="5" t="str">
        <f>IF($G121="","",INDEX('EDS Lookup'!$D$6:$D$2819,$G121))</f>
        <v/>
      </c>
      <c r="B121" s="5" t="str">
        <f>IF($G121="","",INDEX('EDS Lookup'!$B$6:$B$2819,$G121))</f>
        <v/>
      </c>
      <c r="C121" s="17"/>
      <c r="D121" s="6"/>
      <c r="E121" s="7" t="str">
        <f>IF($G121="","",INDEX('EDS Lookup'!$F$6:$F$2819,$G121))</f>
        <v/>
      </c>
      <c r="F121" s="8" t="str">
        <f>IF($G121="","",INDEX('EDS Lookup'!$G$6:$G$2819,$G121))</f>
        <v/>
      </c>
      <c r="G121" t="str">
        <f>IF(98&lt;=$B$4,IFERROR(MATCH(98,'EDS Lookup'!$H$6:$H$2819,0),""),"")</f>
        <v/>
      </c>
      <c r="H121" t="str">
        <f t="shared" si="1"/>
        <v/>
      </c>
    </row>
    <row r="122" spans="1:8" ht="19.95" customHeight="1">
      <c r="A122" s="5" t="str">
        <f>IF($G122="","",INDEX('EDS Lookup'!$D$6:$D$2819,$G122))</f>
        <v/>
      </c>
      <c r="B122" s="5" t="str">
        <f>IF($G122="","",INDEX('EDS Lookup'!$B$6:$B$2819,$G122))</f>
        <v/>
      </c>
      <c r="C122" s="17"/>
      <c r="D122" s="6"/>
      <c r="E122" s="7" t="str">
        <f>IF($G122="","",INDEX('EDS Lookup'!$F$6:$F$2819,$G122))</f>
        <v/>
      </c>
      <c r="F122" s="8" t="str">
        <f>IF($G122="","",INDEX('EDS Lookup'!$G$6:$G$2819,$G122))</f>
        <v/>
      </c>
      <c r="G122" t="str">
        <f>IF(99&lt;=$B$4,IFERROR(MATCH(99,'EDS Lookup'!$H$6:$H$2819,0),""),"")</f>
        <v/>
      </c>
      <c r="H122" t="str">
        <f t="shared" si="1"/>
        <v/>
      </c>
    </row>
    <row r="123" spans="1:8" ht="19.95" customHeight="1">
      <c r="A123" s="5" t="str">
        <f>IF($G123="","",INDEX('EDS Lookup'!$D$6:$D$2819,$G123))</f>
        <v/>
      </c>
      <c r="B123" s="5" t="str">
        <f>IF($G123="","",INDEX('EDS Lookup'!$B$6:$B$2819,$G123))</f>
        <v/>
      </c>
      <c r="C123" s="17"/>
      <c r="D123" s="6"/>
      <c r="E123" s="7" t="str">
        <f>IF($G123="","",INDEX('EDS Lookup'!$F$6:$F$2819,$G123))</f>
        <v/>
      </c>
      <c r="F123" s="8" t="str">
        <f>IF($G123="","",INDEX('EDS Lookup'!$G$6:$G$2819,$G123))</f>
        <v/>
      </c>
      <c r="G123" t="str">
        <f>IF(100&lt;=$B$4,IFERROR(MATCH(100,'EDS Lookup'!$H$6:$H$2819,0),""),"")</f>
        <v/>
      </c>
      <c r="H123" t="str">
        <f t="shared" si="1"/>
        <v/>
      </c>
    </row>
    <row r="124" spans="1:8" ht="19.95" customHeight="1">
      <c r="A124" s="5" t="str">
        <f>IF($G124="","",INDEX('EDS Lookup'!$D$6:$D$2819,$G124))</f>
        <v/>
      </c>
      <c r="B124" s="5" t="str">
        <f>IF($G124="","",INDEX('EDS Lookup'!$B$6:$B$2819,$G124))</f>
        <v/>
      </c>
      <c r="C124" s="17"/>
      <c r="D124" s="6"/>
      <c r="E124" s="7" t="str">
        <f>IF($G124="","",INDEX('EDS Lookup'!$F$6:$F$2819,$G124))</f>
        <v/>
      </c>
      <c r="F124" s="8" t="str">
        <f>IF($G124="","",INDEX('EDS Lookup'!$G$6:$G$2819,$G124))</f>
        <v/>
      </c>
      <c r="G124" t="str">
        <f>IF(101&lt;=$B$4,IFERROR(MATCH(101,'EDS Lookup'!$H$6:$H$2819,0),""),"")</f>
        <v/>
      </c>
      <c r="H124" t="str">
        <f t="shared" si="1"/>
        <v/>
      </c>
    </row>
    <row r="125" spans="1:8" ht="19.95" customHeight="1">
      <c r="A125" s="5" t="str">
        <f>IF($G125="","",INDEX('EDS Lookup'!$D$6:$D$2819,$G125))</f>
        <v/>
      </c>
      <c r="B125" s="5" t="str">
        <f>IF($G125="","",INDEX('EDS Lookup'!$B$6:$B$2819,$G125))</f>
        <v/>
      </c>
      <c r="C125" s="17"/>
      <c r="D125" s="6"/>
      <c r="E125" s="7" t="str">
        <f>IF($G125="","",INDEX('EDS Lookup'!$F$6:$F$2819,$G125))</f>
        <v/>
      </c>
      <c r="F125" s="8" t="str">
        <f>IF($G125="","",INDEX('EDS Lookup'!$G$6:$G$2819,$G125))</f>
        <v/>
      </c>
      <c r="G125" t="str">
        <f>IF(102&lt;=$B$4,IFERROR(MATCH(102,'EDS Lookup'!$H$6:$H$2819,0),""),"")</f>
        <v/>
      </c>
      <c r="H125" t="str">
        <f t="shared" si="1"/>
        <v/>
      </c>
    </row>
    <row r="126" spans="1:8" ht="19.95" customHeight="1">
      <c r="A126" s="5" t="str">
        <f>IF($G126="","",INDEX('EDS Lookup'!$D$6:$D$2819,$G126))</f>
        <v/>
      </c>
      <c r="B126" s="5" t="str">
        <f>IF($G126="","",INDEX('EDS Lookup'!$B$6:$B$2819,$G126))</f>
        <v/>
      </c>
      <c r="C126" s="17"/>
      <c r="D126" s="6"/>
      <c r="E126" s="7" t="str">
        <f>IF($G126="","",INDEX('EDS Lookup'!$F$6:$F$2819,$G126))</f>
        <v/>
      </c>
      <c r="F126" s="8" t="str">
        <f>IF($G126="","",INDEX('EDS Lookup'!$G$6:$G$2819,$G126))</f>
        <v/>
      </c>
      <c r="G126" t="str">
        <f>IF(103&lt;=$B$4,IFERROR(MATCH(103,'EDS Lookup'!$H$6:$H$2819,0),""),"")</f>
        <v/>
      </c>
      <c r="H126" t="str">
        <f t="shared" si="1"/>
        <v/>
      </c>
    </row>
    <row r="127" spans="1:8" ht="19.95" customHeight="1">
      <c r="A127" s="5" t="str">
        <f>IF($G127="","",INDEX('EDS Lookup'!$D$6:$D$2819,$G127))</f>
        <v/>
      </c>
      <c r="B127" s="5" t="str">
        <f>IF($G127="","",INDEX('EDS Lookup'!$B$6:$B$2819,$G127))</f>
        <v/>
      </c>
      <c r="C127" s="17"/>
      <c r="D127" s="6"/>
      <c r="E127" s="7" t="str">
        <f>IF($G127="","",INDEX('EDS Lookup'!$F$6:$F$2819,$G127))</f>
        <v/>
      </c>
      <c r="F127" s="8" t="str">
        <f>IF($G127="","",INDEX('EDS Lookup'!$G$6:$G$2819,$G127))</f>
        <v/>
      </c>
      <c r="G127" t="str">
        <f>IF(104&lt;=$B$4,IFERROR(MATCH(104,'EDS Lookup'!$H$6:$H$2819,0),""),"")</f>
        <v/>
      </c>
      <c r="H127" t="str">
        <f t="shared" si="1"/>
        <v/>
      </c>
    </row>
    <row r="128" spans="1:8" ht="19.95" customHeight="1">
      <c r="A128" s="5" t="str">
        <f>IF($G128="","",INDEX('EDS Lookup'!$D$6:$D$2819,$G128))</f>
        <v/>
      </c>
      <c r="B128" s="5" t="str">
        <f>IF($G128="","",INDEX('EDS Lookup'!$B$6:$B$2819,$G128))</f>
        <v/>
      </c>
      <c r="C128" s="17"/>
      <c r="D128" s="6"/>
      <c r="E128" s="7" t="str">
        <f>IF($G128="","",INDEX('EDS Lookup'!$F$6:$F$2819,$G128))</f>
        <v/>
      </c>
      <c r="F128" s="8" t="str">
        <f>IF($G128="","",INDEX('EDS Lookup'!$G$6:$G$2819,$G128))</f>
        <v/>
      </c>
      <c r="G128" t="str">
        <f>IF(105&lt;=$B$4,IFERROR(MATCH(105,'EDS Lookup'!$H$6:$H$2819,0),""),"")</f>
        <v/>
      </c>
      <c r="H128" t="str">
        <f t="shared" si="1"/>
        <v/>
      </c>
    </row>
    <row r="129" spans="1:8" ht="19.95" customHeight="1">
      <c r="A129" s="5" t="str">
        <f>IF($G129="","",INDEX('EDS Lookup'!$D$6:$D$2819,$G129))</f>
        <v/>
      </c>
      <c r="B129" s="5" t="str">
        <f>IF($G129="","",INDEX('EDS Lookup'!$B$6:$B$2819,$G129))</f>
        <v/>
      </c>
      <c r="C129" s="17"/>
      <c r="D129" s="6"/>
      <c r="E129" s="7" t="str">
        <f>IF($G129="","",INDEX('EDS Lookup'!$F$6:$F$2819,$G129))</f>
        <v/>
      </c>
      <c r="F129" s="8" t="str">
        <f>IF($G129="","",INDEX('EDS Lookup'!$G$6:$G$2819,$G129))</f>
        <v/>
      </c>
      <c r="G129" t="str">
        <f>IF(106&lt;=$B$4,IFERROR(MATCH(106,'EDS Lookup'!$H$6:$H$2819,0),""),"")</f>
        <v/>
      </c>
      <c r="H129" t="str">
        <f t="shared" si="1"/>
        <v/>
      </c>
    </row>
    <row r="130" spans="1:8" ht="19.95" customHeight="1">
      <c r="A130" s="5" t="str">
        <f>IF($G130="","",INDEX('EDS Lookup'!$D$6:$D$2819,$G130))</f>
        <v/>
      </c>
      <c r="B130" s="5" t="str">
        <f>IF($G130="","",INDEX('EDS Lookup'!$B$6:$B$2819,$G130))</f>
        <v/>
      </c>
      <c r="C130" s="17"/>
      <c r="D130" s="6"/>
      <c r="E130" s="7" t="str">
        <f>IF($G130="","",INDEX('EDS Lookup'!$F$6:$F$2819,$G130))</f>
        <v/>
      </c>
      <c r="F130" s="8" t="str">
        <f>IF($G130="","",INDEX('EDS Lookup'!$G$6:$G$2819,$G130))</f>
        <v/>
      </c>
      <c r="G130" t="str">
        <f>IF(107&lt;=$B$4,IFERROR(MATCH(107,'EDS Lookup'!$H$6:$H$2819,0),""),"")</f>
        <v/>
      </c>
      <c r="H130" t="str">
        <f t="shared" si="1"/>
        <v/>
      </c>
    </row>
    <row r="131" spans="1:8" ht="19.95" customHeight="1">
      <c r="A131" s="5" t="str">
        <f>IF($G131="","",INDEX('EDS Lookup'!$D$6:$D$2819,$G131))</f>
        <v/>
      </c>
      <c r="B131" s="5" t="str">
        <f>IF($G131="","",INDEX('EDS Lookup'!$B$6:$B$2819,$G131))</f>
        <v/>
      </c>
      <c r="C131" s="17"/>
      <c r="D131" s="6"/>
      <c r="E131" s="7" t="str">
        <f>IF($G131="","",INDEX('EDS Lookup'!$F$6:$F$2819,$G131))</f>
        <v/>
      </c>
      <c r="F131" s="8" t="str">
        <f>IF($G131="","",INDEX('EDS Lookup'!$G$6:$G$2819,$G131))</f>
        <v/>
      </c>
      <c r="G131" t="str">
        <f>IF(108&lt;=$B$4,IFERROR(MATCH(108,'EDS Lookup'!$H$6:$H$2819,0),""),"")</f>
        <v/>
      </c>
      <c r="H131" t="str">
        <f t="shared" si="1"/>
        <v/>
      </c>
    </row>
    <row r="132" spans="1:8" ht="19.95" customHeight="1">
      <c r="A132" s="5" t="str">
        <f>IF($G132="","",INDEX('EDS Lookup'!$D$6:$D$2819,$G132))</f>
        <v/>
      </c>
      <c r="B132" s="5" t="str">
        <f>IF($G132="","",INDEX('EDS Lookup'!$B$6:$B$2819,$G132))</f>
        <v/>
      </c>
      <c r="C132" s="17"/>
      <c r="D132" s="6"/>
      <c r="E132" s="7" t="str">
        <f>IF($G132="","",INDEX('EDS Lookup'!$F$6:$F$2819,$G132))</f>
        <v/>
      </c>
      <c r="F132" s="8" t="str">
        <f>IF($G132="","",INDEX('EDS Lookup'!$G$6:$G$2819,$G132))</f>
        <v/>
      </c>
      <c r="G132" t="str">
        <f>IF(109&lt;=$B$4,IFERROR(MATCH(109,'EDS Lookup'!$H$6:$H$2819,0),""),"")</f>
        <v/>
      </c>
      <c r="H132" t="str">
        <f t="shared" si="1"/>
        <v/>
      </c>
    </row>
    <row r="133" spans="1:8" ht="19.95" customHeight="1">
      <c r="A133" s="5" t="str">
        <f>IF($G133="","",INDEX('EDS Lookup'!$D$6:$D$2819,$G133))</f>
        <v/>
      </c>
      <c r="B133" s="5" t="str">
        <f>IF($G133="","",INDEX('EDS Lookup'!$B$6:$B$2819,$G133))</f>
        <v/>
      </c>
      <c r="C133" s="17"/>
      <c r="D133" s="6"/>
      <c r="E133" s="7" t="str">
        <f>IF($G133="","",INDEX('EDS Lookup'!$F$6:$F$2819,$G133))</f>
        <v/>
      </c>
      <c r="F133" s="8" t="str">
        <f>IF($G133="","",INDEX('EDS Lookup'!$G$6:$G$2819,$G133))</f>
        <v/>
      </c>
      <c r="G133" t="str">
        <f>IF(110&lt;=$B$4,IFERROR(MATCH(110,'EDS Lookup'!$H$6:$H$2819,0),""),"")</f>
        <v/>
      </c>
      <c r="H133" t="str">
        <f t="shared" si="1"/>
        <v/>
      </c>
    </row>
    <row r="134" spans="1:8" ht="19.95" customHeight="1">
      <c r="A134" s="5" t="str">
        <f>IF($G134="","",INDEX('EDS Lookup'!$D$6:$D$2819,$G134))</f>
        <v/>
      </c>
      <c r="B134" s="5" t="str">
        <f>IF($G134="","",INDEX('EDS Lookup'!$B$6:$B$2819,$G134))</f>
        <v/>
      </c>
      <c r="C134" s="17"/>
      <c r="D134" s="6"/>
      <c r="E134" s="7" t="str">
        <f>IF($G134="","",INDEX('EDS Lookup'!$F$6:$F$2819,$G134))</f>
        <v/>
      </c>
      <c r="F134" s="8" t="str">
        <f>IF($G134="","",INDEX('EDS Lookup'!$G$6:$G$2819,$G134))</f>
        <v/>
      </c>
      <c r="G134" t="str">
        <f>IF(111&lt;=$B$4,IFERROR(MATCH(111,'EDS Lookup'!$H$6:$H$2819,0),""),"")</f>
        <v/>
      </c>
      <c r="H134" t="str">
        <f t="shared" si="1"/>
        <v/>
      </c>
    </row>
    <row r="135" spans="1:8" ht="19.95" customHeight="1">
      <c r="A135" s="5" t="str">
        <f>IF($G135="","",INDEX('EDS Lookup'!$D$6:$D$2819,$G135))</f>
        <v/>
      </c>
      <c r="B135" s="5" t="str">
        <f>IF($G135="","",INDEX('EDS Lookup'!$B$6:$B$2819,$G135))</f>
        <v/>
      </c>
      <c r="C135" s="17"/>
      <c r="D135" s="6"/>
      <c r="E135" s="7" t="str">
        <f>IF($G135="","",INDEX('EDS Lookup'!$F$6:$F$2819,$G135))</f>
        <v/>
      </c>
      <c r="F135" s="8" t="str">
        <f>IF($G135="","",INDEX('EDS Lookup'!$G$6:$G$2819,$G135))</f>
        <v/>
      </c>
      <c r="G135" t="str">
        <f>IF(112&lt;=$B$4,IFERROR(MATCH(112,'EDS Lookup'!$H$6:$H$2819,0),""),"")</f>
        <v/>
      </c>
      <c r="H135" t="str">
        <f t="shared" si="1"/>
        <v/>
      </c>
    </row>
    <row r="136" spans="1:8" ht="19.95" customHeight="1">
      <c r="A136" s="5" t="str">
        <f>IF($G136="","",INDEX('EDS Lookup'!$D$6:$D$2819,$G136))</f>
        <v/>
      </c>
      <c r="B136" s="5" t="str">
        <f>IF($G136="","",INDEX('EDS Lookup'!$B$6:$B$2819,$G136))</f>
        <v/>
      </c>
      <c r="C136" s="17"/>
      <c r="D136" s="6"/>
      <c r="E136" s="7" t="str">
        <f>IF($G136="","",INDEX('EDS Lookup'!$F$6:$F$2819,$G136))</f>
        <v/>
      </c>
      <c r="F136" s="8" t="str">
        <f>IF($G136="","",INDEX('EDS Lookup'!$G$6:$G$2819,$G136))</f>
        <v/>
      </c>
      <c r="G136" t="str">
        <f>IF(113&lt;=$B$4,IFERROR(MATCH(113,'EDS Lookup'!$H$6:$H$2819,0),""),"")</f>
        <v/>
      </c>
      <c r="H136" t="str">
        <f t="shared" si="1"/>
        <v/>
      </c>
    </row>
    <row r="137" spans="1:8" ht="19.95" customHeight="1">
      <c r="A137" s="5" t="str">
        <f>IF($G137="","",INDEX('EDS Lookup'!$D$6:$D$2819,$G137))</f>
        <v/>
      </c>
      <c r="B137" s="5" t="str">
        <f>IF($G137="","",INDEX('EDS Lookup'!$B$6:$B$2819,$G137))</f>
        <v/>
      </c>
      <c r="C137" s="17"/>
      <c r="D137" s="6"/>
      <c r="E137" s="7" t="str">
        <f>IF($G137="","",INDEX('EDS Lookup'!$F$6:$F$2819,$G137))</f>
        <v/>
      </c>
      <c r="F137" s="8" t="str">
        <f>IF($G137="","",INDEX('EDS Lookup'!$G$6:$G$2819,$G137))</f>
        <v/>
      </c>
      <c r="G137" t="str">
        <f>IF(114&lt;=$B$4,IFERROR(MATCH(114,'EDS Lookup'!$H$6:$H$2819,0),""),"")</f>
        <v/>
      </c>
      <c r="H137" t="str">
        <f t="shared" si="1"/>
        <v/>
      </c>
    </row>
    <row r="138" spans="1:8" ht="19.95" customHeight="1">
      <c r="A138" s="5" t="str">
        <f>IF($G138="","",INDEX('EDS Lookup'!$D$6:$D$2819,$G138))</f>
        <v/>
      </c>
      <c r="B138" s="5" t="str">
        <f>IF($G138="","",INDEX('EDS Lookup'!$B$6:$B$2819,$G138))</f>
        <v/>
      </c>
      <c r="C138" s="17"/>
      <c r="D138" s="6"/>
      <c r="E138" s="7" t="str">
        <f>IF($G138="","",INDEX('EDS Lookup'!$F$6:$F$2819,$G138))</f>
        <v/>
      </c>
      <c r="F138" s="8" t="str">
        <f>IF($G138="","",INDEX('EDS Lookup'!$G$6:$G$2819,$G138))</f>
        <v/>
      </c>
      <c r="G138" t="str">
        <f>IF(115&lt;=$B$4,IFERROR(MATCH(115,'EDS Lookup'!$H$6:$H$2819,0),""),"")</f>
        <v/>
      </c>
      <c r="H138" t="str">
        <f t="shared" si="1"/>
        <v/>
      </c>
    </row>
    <row r="139" spans="1:8" ht="19.95" customHeight="1">
      <c r="A139" s="5" t="str">
        <f>IF($G139="","",INDEX('EDS Lookup'!$D$6:$D$2819,$G139))</f>
        <v/>
      </c>
      <c r="B139" s="5" t="str">
        <f>IF($G139="","",INDEX('EDS Lookup'!$B$6:$B$2819,$G139))</f>
        <v/>
      </c>
      <c r="C139" s="17"/>
      <c r="D139" s="6"/>
      <c r="E139" s="7" t="str">
        <f>IF($G139="","",INDEX('EDS Lookup'!$F$6:$F$2819,$G139))</f>
        <v/>
      </c>
      <c r="F139" s="8" t="str">
        <f>IF($G139="","",INDEX('EDS Lookup'!$G$6:$G$2819,$G139))</f>
        <v/>
      </c>
      <c r="G139" t="str">
        <f>IF(116&lt;=$B$4,IFERROR(MATCH(116,'EDS Lookup'!$H$6:$H$2819,0),""),"")</f>
        <v/>
      </c>
      <c r="H139" t="str">
        <f t="shared" si="1"/>
        <v/>
      </c>
    </row>
    <row r="140" spans="1:8" ht="19.95" customHeight="1">
      <c r="A140" s="5" t="str">
        <f>IF($G140="","",INDEX('EDS Lookup'!$D$6:$D$2819,$G140))</f>
        <v/>
      </c>
      <c r="B140" s="5" t="str">
        <f>IF($G140="","",INDEX('EDS Lookup'!$B$6:$B$2819,$G140))</f>
        <v/>
      </c>
      <c r="C140" s="17"/>
      <c r="D140" s="6"/>
      <c r="E140" s="7" t="str">
        <f>IF($G140="","",INDEX('EDS Lookup'!$F$6:$F$2819,$G140))</f>
        <v/>
      </c>
      <c r="F140" s="8" t="str">
        <f>IF($G140="","",INDEX('EDS Lookup'!$G$6:$G$2819,$G140))</f>
        <v/>
      </c>
      <c r="G140" t="str">
        <f>IF(117&lt;=$B$4,IFERROR(MATCH(117,'EDS Lookup'!$H$6:$H$2819,0),""),"")</f>
        <v/>
      </c>
      <c r="H140" t="str">
        <f t="shared" si="1"/>
        <v/>
      </c>
    </row>
    <row r="141" spans="1:8" ht="19.95" customHeight="1">
      <c r="A141" s="5" t="str">
        <f>IF($G141="","",INDEX('EDS Lookup'!$D$6:$D$2819,$G141))</f>
        <v/>
      </c>
      <c r="B141" s="5" t="str">
        <f>IF($G141="","",INDEX('EDS Lookup'!$B$6:$B$2819,$G141))</f>
        <v/>
      </c>
      <c r="C141" s="17"/>
      <c r="D141" s="6"/>
      <c r="E141" s="7" t="str">
        <f>IF($G141="","",INDEX('EDS Lookup'!$F$6:$F$2819,$G141))</f>
        <v/>
      </c>
      <c r="F141" s="8" t="str">
        <f>IF($G141="","",INDEX('EDS Lookup'!$G$6:$G$2819,$G141))</f>
        <v/>
      </c>
      <c r="G141" t="str">
        <f>IF(118&lt;=$B$4,IFERROR(MATCH(118,'EDS Lookup'!$H$6:$H$2819,0),""),"")</f>
        <v/>
      </c>
      <c r="H141" t="str">
        <f t="shared" si="1"/>
        <v/>
      </c>
    </row>
    <row r="142" spans="1:8" ht="19.95" customHeight="1">
      <c r="A142" s="5" t="str">
        <f>IF($G142="","",INDEX('EDS Lookup'!$D$6:$D$2819,$G142))</f>
        <v/>
      </c>
      <c r="B142" s="5" t="str">
        <f>IF($G142="","",INDEX('EDS Lookup'!$B$6:$B$2819,$G142))</f>
        <v/>
      </c>
      <c r="C142" s="17"/>
      <c r="D142" s="6"/>
      <c r="E142" s="7" t="str">
        <f>IF($G142="","",INDEX('EDS Lookup'!$F$6:$F$2819,$G142))</f>
        <v/>
      </c>
      <c r="F142" s="8" t="str">
        <f>IF($G142="","",INDEX('EDS Lookup'!$G$6:$G$2819,$G142))</f>
        <v/>
      </c>
      <c r="G142" t="str">
        <f>IF(119&lt;=$B$4,IFERROR(MATCH(119,'EDS Lookup'!$H$6:$H$2819,0),""),"")</f>
        <v/>
      </c>
      <c r="H142" t="str">
        <f t="shared" si="1"/>
        <v/>
      </c>
    </row>
    <row r="143" spans="1:8" ht="19.95" customHeight="1">
      <c r="A143" s="5" t="str">
        <f>IF($G143="","",INDEX('EDS Lookup'!$D$6:$D$2819,$G143))</f>
        <v/>
      </c>
      <c r="B143" s="5" t="str">
        <f>IF($G143="","",INDEX('EDS Lookup'!$B$6:$B$2819,$G143))</f>
        <v/>
      </c>
      <c r="C143" s="17"/>
      <c r="D143" s="6"/>
      <c r="E143" s="7" t="str">
        <f>IF($G143="","",INDEX('EDS Lookup'!$F$6:$F$2819,$G143))</f>
        <v/>
      </c>
      <c r="F143" s="8" t="str">
        <f>IF($G143="","",INDEX('EDS Lookup'!$G$6:$G$2819,$G143))</f>
        <v/>
      </c>
      <c r="G143" t="str">
        <f>IF(120&lt;=$B$4,IFERROR(MATCH(120,'EDS Lookup'!$H$6:$H$2819,0),""),"")</f>
        <v/>
      </c>
      <c r="H143" t="str">
        <f t="shared" si="1"/>
        <v/>
      </c>
    </row>
    <row r="144" spans="1:8" ht="19.95" customHeight="1">
      <c r="A144" s="5" t="str">
        <f>IF($G144="","",INDEX('EDS Lookup'!$D$6:$D$2819,$G144))</f>
        <v/>
      </c>
      <c r="B144" s="5" t="str">
        <f>IF($G144="","",INDEX('EDS Lookup'!$B$6:$B$2819,$G144))</f>
        <v/>
      </c>
      <c r="C144" s="17"/>
      <c r="D144" s="6"/>
      <c r="E144" s="7" t="str">
        <f>IF($G144="","",INDEX('EDS Lookup'!$F$6:$F$2819,$G144))</f>
        <v/>
      </c>
      <c r="F144" s="8" t="str">
        <f>IF($G144="","",INDEX('EDS Lookup'!$G$6:$G$2819,$G144))</f>
        <v/>
      </c>
      <c r="G144" t="str">
        <f>IF(121&lt;=$B$4,IFERROR(MATCH(121,'EDS Lookup'!$H$6:$H$2819,0),""),"")</f>
        <v/>
      </c>
      <c r="H144" t="str">
        <f t="shared" si="1"/>
        <v/>
      </c>
    </row>
    <row r="145" spans="1:8" ht="19.95" customHeight="1">
      <c r="A145" s="5" t="str">
        <f>IF($G145="","",INDEX('EDS Lookup'!$D$6:$D$2819,$G145))</f>
        <v/>
      </c>
      <c r="B145" s="5" t="str">
        <f>IF($G145="","",INDEX('EDS Lookup'!$B$6:$B$2819,$G145))</f>
        <v/>
      </c>
      <c r="C145" s="17"/>
      <c r="D145" s="6"/>
      <c r="E145" s="7" t="str">
        <f>IF($G145="","",INDEX('EDS Lookup'!$F$6:$F$2819,$G145))</f>
        <v/>
      </c>
      <c r="F145" s="8" t="str">
        <f>IF($G145="","",INDEX('EDS Lookup'!$G$6:$G$2819,$G145))</f>
        <v/>
      </c>
      <c r="G145" t="str">
        <f>IF(122&lt;=$B$4,IFERROR(MATCH(122,'EDS Lookup'!$H$6:$H$2819,0),""),"")</f>
        <v/>
      </c>
      <c r="H145" t="str">
        <f t="shared" si="1"/>
        <v/>
      </c>
    </row>
    <row r="146" spans="1:8" ht="19.95" customHeight="1">
      <c r="A146" s="5" t="str">
        <f>IF($G146="","",INDEX('EDS Lookup'!$D$6:$D$2819,$G146))</f>
        <v/>
      </c>
      <c r="B146" s="5" t="str">
        <f>IF($G146="","",INDEX('EDS Lookup'!$B$6:$B$2819,$G146))</f>
        <v/>
      </c>
      <c r="C146" s="17"/>
      <c r="D146" s="6"/>
      <c r="E146" s="7" t="str">
        <f>IF($G146="","",INDEX('EDS Lookup'!$F$6:$F$2819,$G146))</f>
        <v/>
      </c>
      <c r="F146" s="8" t="str">
        <f>IF($G146="","",INDEX('EDS Lookup'!$G$6:$G$2819,$G146))</f>
        <v/>
      </c>
      <c r="G146" t="str">
        <f>IF(123&lt;=$B$4,IFERROR(MATCH(123,'EDS Lookup'!$H$6:$H$2819,0),""),"")</f>
        <v/>
      </c>
      <c r="H146" t="str">
        <f t="shared" si="1"/>
        <v/>
      </c>
    </row>
    <row r="147" spans="1:8" ht="19.95" customHeight="1">
      <c r="A147" s="5" t="str">
        <f>IF($G147="","",INDEX('EDS Lookup'!$D$6:$D$2819,$G147))</f>
        <v/>
      </c>
      <c r="B147" s="5" t="str">
        <f>IF($G147="","",INDEX('EDS Lookup'!$B$6:$B$2819,$G147))</f>
        <v/>
      </c>
      <c r="C147" s="17"/>
      <c r="D147" s="6"/>
      <c r="E147" s="7" t="str">
        <f>IF($G147="","",INDEX('EDS Lookup'!$F$6:$F$2819,$G147))</f>
        <v/>
      </c>
      <c r="F147" s="8" t="str">
        <f>IF($G147="","",INDEX('EDS Lookup'!$G$6:$G$2819,$G147))</f>
        <v/>
      </c>
      <c r="G147" t="str">
        <f>IF(124&lt;=$B$4,IFERROR(MATCH(124,'EDS Lookup'!$H$6:$H$2819,0),""),"")</f>
        <v/>
      </c>
      <c r="H147" t="str">
        <f t="shared" si="1"/>
        <v/>
      </c>
    </row>
    <row r="148" spans="1:8" ht="19.95" customHeight="1">
      <c r="A148" s="5" t="str">
        <f>IF($G148="","",INDEX('EDS Lookup'!$D$6:$D$2819,$G148))</f>
        <v/>
      </c>
      <c r="B148" s="5" t="str">
        <f>IF($G148="","",INDEX('EDS Lookup'!$B$6:$B$2819,$G148))</f>
        <v/>
      </c>
      <c r="C148" s="17"/>
      <c r="D148" s="6"/>
      <c r="E148" s="7" t="str">
        <f>IF($G148="","",INDEX('EDS Lookup'!$F$6:$F$2819,$G148))</f>
        <v/>
      </c>
      <c r="F148" s="8" t="str">
        <f>IF($G148="","",INDEX('EDS Lookup'!$G$6:$G$2819,$G148))</f>
        <v/>
      </c>
      <c r="G148" t="str">
        <f>IF(125&lt;=$B$4,IFERROR(MATCH(125,'EDS Lookup'!$H$6:$H$2819,0),""),"")</f>
        <v/>
      </c>
      <c r="H148" t="str">
        <f t="shared" si="1"/>
        <v/>
      </c>
    </row>
    <row r="149" spans="1:8" ht="19.95" customHeight="1">
      <c r="A149" s="5" t="str">
        <f>IF($G149="","",INDEX('EDS Lookup'!$D$6:$D$2819,$G149))</f>
        <v/>
      </c>
      <c r="B149" s="5" t="str">
        <f>IF($G149="","",INDEX('EDS Lookup'!$B$6:$B$2819,$G149))</f>
        <v/>
      </c>
      <c r="C149" s="17"/>
      <c r="D149" s="6"/>
      <c r="E149" s="7" t="str">
        <f>IF($G149="","",INDEX('EDS Lookup'!$F$6:$F$2819,$G149))</f>
        <v/>
      </c>
      <c r="F149" s="8" t="str">
        <f>IF($G149="","",INDEX('EDS Lookup'!$G$6:$G$2819,$G149))</f>
        <v/>
      </c>
      <c r="G149" t="str">
        <f>IF(126&lt;=$B$4,IFERROR(MATCH(126,'EDS Lookup'!$H$6:$H$2819,0),""),"")</f>
        <v/>
      </c>
      <c r="H149" t="str">
        <f t="shared" si="1"/>
        <v/>
      </c>
    </row>
    <row r="150" spans="1:8" ht="19.95" customHeight="1">
      <c r="A150" s="5" t="str">
        <f>IF($G150="","",INDEX('EDS Lookup'!$D$6:$D$2819,$G150))</f>
        <v/>
      </c>
      <c r="B150" s="5" t="str">
        <f>IF($G150="","",INDEX('EDS Lookup'!$B$6:$B$2819,$G150))</f>
        <v/>
      </c>
      <c r="C150" s="17"/>
      <c r="D150" s="6"/>
      <c r="E150" s="7" t="str">
        <f>IF($G150="","",INDEX('EDS Lookup'!$F$6:$F$2819,$G150))</f>
        <v/>
      </c>
      <c r="F150" s="8" t="str">
        <f>IF($G150="","",INDEX('EDS Lookup'!$G$6:$G$2819,$G150))</f>
        <v/>
      </c>
      <c r="G150" t="str">
        <f>IF(127&lt;=$B$4,IFERROR(MATCH(127,'EDS Lookup'!$H$6:$H$2819,0),""),"")</f>
        <v/>
      </c>
      <c r="H150" t="str">
        <f t="shared" si="1"/>
        <v/>
      </c>
    </row>
    <row r="151" spans="1:8" ht="19.95" customHeight="1">
      <c r="A151" s="5" t="str">
        <f>IF($G151="","",INDEX('EDS Lookup'!$D$6:$D$2819,$G151))</f>
        <v/>
      </c>
      <c r="B151" s="5" t="str">
        <f>IF($G151="","",INDEX('EDS Lookup'!$B$6:$B$2819,$G151))</f>
        <v/>
      </c>
      <c r="C151" s="17"/>
      <c r="D151" s="6"/>
      <c r="E151" s="7" t="str">
        <f>IF($G151="","",INDEX('EDS Lookup'!$F$6:$F$2819,$G151))</f>
        <v/>
      </c>
      <c r="F151" s="8" t="str">
        <f>IF($G151="","",INDEX('EDS Lookup'!$G$6:$G$2819,$G151))</f>
        <v/>
      </c>
      <c r="G151" t="str">
        <f>IF(128&lt;=$B$4,IFERROR(MATCH(128,'EDS Lookup'!$H$6:$H$2819,0),""),"")</f>
        <v/>
      </c>
      <c r="H151" t="str">
        <f t="shared" si="1"/>
        <v/>
      </c>
    </row>
    <row r="152" spans="1:8" ht="19.95" customHeight="1">
      <c r="A152" s="5" t="str">
        <f>IF($G152="","",INDEX('EDS Lookup'!$D$6:$D$2819,$G152))</f>
        <v/>
      </c>
      <c r="B152" s="5" t="str">
        <f>IF($G152="","",INDEX('EDS Lookup'!$B$6:$B$2819,$G152))</f>
        <v/>
      </c>
      <c r="C152" s="17"/>
      <c r="D152" s="6"/>
      <c r="E152" s="7" t="str">
        <f>IF($G152="","",INDEX('EDS Lookup'!$F$6:$F$2819,$G152))</f>
        <v/>
      </c>
      <c r="F152" s="8" t="str">
        <f>IF($G152="","",INDEX('EDS Lookup'!$G$6:$G$2819,$G152))</f>
        <v/>
      </c>
      <c r="G152" t="str">
        <f>IF(129&lt;=$B$4,IFERROR(MATCH(129,'EDS Lookup'!$H$6:$H$2819,0),""),"")</f>
        <v/>
      </c>
      <c r="H152" t="str">
        <f t="shared" ref="H152:H215" si="2">IF(F152="&lt;5",5,IF(F152="&gt;95",95,IF(ISNUMBER(F152),F152,"")))</f>
        <v/>
      </c>
    </row>
    <row r="153" spans="1:8" ht="19.95" customHeight="1">
      <c r="A153" s="5" t="str">
        <f>IF($G153="","",INDEX('EDS Lookup'!$D$6:$D$2819,$G153))</f>
        <v/>
      </c>
      <c r="B153" s="5" t="str">
        <f>IF($G153="","",INDEX('EDS Lookup'!$B$6:$B$2819,$G153))</f>
        <v/>
      </c>
      <c r="C153" s="17"/>
      <c r="D153" s="6"/>
      <c r="E153" s="7" t="str">
        <f>IF($G153="","",INDEX('EDS Lookup'!$F$6:$F$2819,$G153))</f>
        <v/>
      </c>
      <c r="F153" s="8" t="str">
        <f>IF($G153="","",INDEX('EDS Lookup'!$G$6:$G$2819,$G153))</f>
        <v/>
      </c>
      <c r="G153" t="str">
        <f>IF(130&lt;=$B$4,IFERROR(MATCH(130,'EDS Lookup'!$H$6:$H$2819,0),""),"")</f>
        <v/>
      </c>
      <c r="H153" t="str">
        <f t="shared" si="2"/>
        <v/>
      </c>
    </row>
    <row r="154" spans="1:8" ht="19.95" customHeight="1">
      <c r="A154" s="5" t="str">
        <f>IF($G154="","",INDEX('EDS Lookup'!$D$6:$D$2819,$G154))</f>
        <v/>
      </c>
      <c r="B154" s="5" t="str">
        <f>IF($G154="","",INDEX('EDS Lookup'!$B$6:$B$2819,$G154))</f>
        <v/>
      </c>
      <c r="C154" s="17"/>
      <c r="D154" s="6"/>
      <c r="E154" s="7" t="str">
        <f>IF($G154="","",INDEX('EDS Lookup'!$F$6:$F$2819,$G154))</f>
        <v/>
      </c>
      <c r="F154" s="8" t="str">
        <f>IF($G154="","",INDEX('EDS Lookup'!$G$6:$G$2819,$G154))</f>
        <v/>
      </c>
      <c r="G154" t="str">
        <f>IF(131&lt;=$B$4,IFERROR(MATCH(131,'EDS Lookup'!$H$6:$H$2819,0),""),"")</f>
        <v/>
      </c>
      <c r="H154" t="str">
        <f t="shared" si="2"/>
        <v/>
      </c>
    </row>
    <row r="155" spans="1:8" ht="19.95" customHeight="1">
      <c r="A155" s="5" t="str">
        <f>IF($G155="","",INDEX('EDS Lookup'!$D$6:$D$2819,$G155))</f>
        <v/>
      </c>
      <c r="B155" s="5" t="str">
        <f>IF($G155="","",INDEX('EDS Lookup'!$B$6:$B$2819,$G155))</f>
        <v/>
      </c>
      <c r="C155" s="17"/>
      <c r="D155" s="6"/>
      <c r="E155" s="7" t="str">
        <f>IF($G155="","",INDEX('EDS Lookup'!$F$6:$F$2819,$G155))</f>
        <v/>
      </c>
      <c r="F155" s="8" t="str">
        <f>IF($G155="","",INDEX('EDS Lookup'!$G$6:$G$2819,$G155))</f>
        <v/>
      </c>
      <c r="G155" t="str">
        <f>IF(132&lt;=$B$4,IFERROR(MATCH(132,'EDS Lookup'!$H$6:$H$2819,0),""),"")</f>
        <v/>
      </c>
      <c r="H155" t="str">
        <f t="shared" si="2"/>
        <v/>
      </c>
    </row>
    <row r="156" spans="1:8" ht="19.95" customHeight="1">
      <c r="A156" s="5" t="str">
        <f>IF($G156="","",INDEX('EDS Lookup'!$D$6:$D$2819,$G156))</f>
        <v/>
      </c>
      <c r="B156" s="5" t="str">
        <f>IF($G156="","",INDEX('EDS Lookup'!$B$6:$B$2819,$G156))</f>
        <v/>
      </c>
      <c r="C156" s="17"/>
      <c r="D156" s="6"/>
      <c r="E156" s="7" t="str">
        <f>IF($G156="","",INDEX('EDS Lookup'!$F$6:$F$2819,$G156))</f>
        <v/>
      </c>
      <c r="F156" s="8" t="str">
        <f>IF($G156="","",INDEX('EDS Lookup'!$G$6:$G$2819,$G156))</f>
        <v/>
      </c>
      <c r="G156" t="str">
        <f>IF(133&lt;=$B$4,IFERROR(MATCH(133,'EDS Lookup'!$H$6:$H$2819,0),""),"")</f>
        <v/>
      </c>
      <c r="H156" t="str">
        <f t="shared" si="2"/>
        <v/>
      </c>
    </row>
    <row r="157" spans="1:8" ht="19.95" customHeight="1">
      <c r="A157" s="5" t="str">
        <f>IF($G157="","",INDEX('EDS Lookup'!$D$6:$D$2819,$G157))</f>
        <v/>
      </c>
      <c r="B157" s="5" t="str">
        <f>IF($G157="","",INDEX('EDS Lookup'!$B$6:$B$2819,$G157))</f>
        <v/>
      </c>
      <c r="C157" s="17"/>
      <c r="D157" s="6"/>
      <c r="E157" s="7" t="str">
        <f>IF($G157="","",INDEX('EDS Lookup'!$F$6:$F$2819,$G157))</f>
        <v/>
      </c>
      <c r="F157" s="8" t="str">
        <f>IF($G157="","",INDEX('EDS Lookup'!$G$6:$G$2819,$G157))</f>
        <v/>
      </c>
      <c r="G157" t="str">
        <f>IF(134&lt;=$B$4,IFERROR(MATCH(134,'EDS Lookup'!$H$6:$H$2819,0),""),"")</f>
        <v/>
      </c>
      <c r="H157" t="str">
        <f t="shared" si="2"/>
        <v/>
      </c>
    </row>
    <row r="158" spans="1:8" ht="19.95" customHeight="1">
      <c r="A158" s="5" t="str">
        <f>IF($G158="","",INDEX('EDS Lookup'!$D$6:$D$2819,$G158))</f>
        <v/>
      </c>
      <c r="B158" s="5" t="str">
        <f>IF($G158="","",INDEX('EDS Lookup'!$B$6:$B$2819,$G158))</f>
        <v/>
      </c>
      <c r="C158" s="17"/>
      <c r="D158" s="6"/>
      <c r="E158" s="7" t="str">
        <f>IF($G158="","",INDEX('EDS Lookup'!$F$6:$F$2819,$G158))</f>
        <v/>
      </c>
      <c r="F158" s="8" t="str">
        <f>IF($G158="","",INDEX('EDS Lookup'!$G$6:$G$2819,$G158))</f>
        <v/>
      </c>
      <c r="G158" t="str">
        <f>IF(135&lt;=$B$4,IFERROR(MATCH(135,'EDS Lookup'!$H$6:$H$2819,0),""),"")</f>
        <v/>
      </c>
      <c r="H158" t="str">
        <f t="shared" si="2"/>
        <v/>
      </c>
    </row>
    <row r="159" spans="1:8" ht="19.95" customHeight="1">
      <c r="A159" s="5" t="str">
        <f>IF($G159="","",INDEX('EDS Lookup'!$D$6:$D$2819,$G159))</f>
        <v/>
      </c>
      <c r="B159" s="5" t="str">
        <f>IF($G159="","",INDEX('EDS Lookup'!$B$6:$B$2819,$G159))</f>
        <v/>
      </c>
      <c r="C159" s="17"/>
      <c r="D159" s="6"/>
      <c r="E159" s="7" t="str">
        <f>IF($G159="","",INDEX('EDS Lookup'!$F$6:$F$2819,$G159))</f>
        <v/>
      </c>
      <c r="F159" s="8" t="str">
        <f>IF($G159="","",INDEX('EDS Lookup'!$G$6:$G$2819,$G159))</f>
        <v/>
      </c>
      <c r="G159" t="str">
        <f>IF(136&lt;=$B$4,IFERROR(MATCH(136,'EDS Lookup'!$H$6:$H$2819,0),""),"")</f>
        <v/>
      </c>
      <c r="H159" t="str">
        <f t="shared" si="2"/>
        <v/>
      </c>
    </row>
    <row r="160" spans="1:8" ht="19.95" customHeight="1">
      <c r="A160" s="5" t="str">
        <f>IF($G160="","",INDEX('EDS Lookup'!$D$6:$D$2819,$G160))</f>
        <v/>
      </c>
      <c r="B160" s="5" t="str">
        <f>IF($G160="","",INDEX('EDS Lookup'!$B$6:$B$2819,$G160))</f>
        <v/>
      </c>
      <c r="C160" s="17"/>
      <c r="D160" s="6"/>
      <c r="E160" s="7" t="str">
        <f>IF($G160="","",INDEX('EDS Lookup'!$F$6:$F$2819,$G160))</f>
        <v/>
      </c>
      <c r="F160" s="8" t="str">
        <f>IF($G160="","",INDEX('EDS Lookup'!$G$6:$G$2819,$G160))</f>
        <v/>
      </c>
      <c r="G160" t="str">
        <f>IF(137&lt;=$B$4,IFERROR(MATCH(137,'EDS Lookup'!$H$6:$H$2819,0),""),"")</f>
        <v/>
      </c>
      <c r="H160" t="str">
        <f t="shared" si="2"/>
        <v/>
      </c>
    </row>
    <row r="161" spans="1:8" ht="19.95" customHeight="1">
      <c r="A161" s="5" t="str">
        <f>IF($G161="","",INDEX('EDS Lookup'!$D$6:$D$2819,$G161))</f>
        <v/>
      </c>
      <c r="B161" s="5" t="str">
        <f>IF($G161="","",INDEX('EDS Lookup'!$B$6:$B$2819,$G161))</f>
        <v/>
      </c>
      <c r="C161" s="17"/>
      <c r="D161" s="6"/>
      <c r="E161" s="7" t="str">
        <f>IF($G161="","",INDEX('EDS Lookup'!$F$6:$F$2819,$G161))</f>
        <v/>
      </c>
      <c r="F161" s="8" t="str">
        <f>IF($G161="","",INDEX('EDS Lookup'!$G$6:$G$2819,$G161))</f>
        <v/>
      </c>
      <c r="G161" t="str">
        <f>IF(138&lt;=$B$4,IFERROR(MATCH(138,'EDS Lookup'!$H$6:$H$2819,0),""),"")</f>
        <v/>
      </c>
      <c r="H161" t="str">
        <f t="shared" si="2"/>
        <v/>
      </c>
    </row>
    <row r="162" spans="1:8" ht="19.95" customHeight="1">
      <c r="A162" s="5" t="str">
        <f>IF($G162="","",INDEX('EDS Lookup'!$D$6:$D$2819,$G162))</f>
        <v/>
      </c>
      <c r="B162" s="5" t="str">
        <f>IF($G162="","",INDEX('EDS Lookup'!$B$6:$B$2819,$G162))</f>
        <v/>
      </c>
      <c r="C162" s="17"/>
      <c r="D162" s="6"/>
      <c r="E162" s="7" t="str">
        <f>IF($G162="","",INDEX('EDS Lookup'!$F$6:$F$2819,$G162))</f>
        <v/>
      </c>
      <c r="F162" s="8" t="str">
        <f>IF($G162="","",INDEX('EDS Lookup'!$G$6:$G$2819,$G162))</f>
        <v/>
      </c>
      <c r="G162" t="str">
        <f>IF(139&lt;=$B$4,IFERROR(MATCH(139,'EDS Lookup'!$H$6:$H$2819,0),""),"")</f>
        <v/>
      </c>
      <c r="H162" t="str">
        <f t="shared" si="2"/>
        <v/>
      </c>
    </row>
    <row r="163" spans="1:8" ht="19.95" customHeight="1">
      <c r="A163" s="5" t="str">
        <f>IF($G163="","",INDEX('EDS Lookup'!$D$6:$D$2819,$G163))</f>
        <v/>
      </c>
      <c r="B163" s="5" t="str">
        <f>IF($G163="","",INDEX('EDS Lookup'!$B$6:$B$2819,$G163))</f>
        <v/>
      </c>
      <c r="C163" s="17"/>
      <c r="D163" s="6"/>
      <c r="E163" s="7" t="str">
        <f>IF($G163="","",INDEX('EDS Lookup'!$F$6:$F$2819,$G163))</f>
        <v/>
      </c>
      <c r="F163" s="8" t="str">
        <f>IF($G163="","",INDEX('EDS Lookup'!$G$6:$G$2819,$G163))</f>
        <v/>
      </c>
      <c r="G163" t="str">
        <f>IF(140&lt;=$B$4,IFERROR(MATCH(140,'EDS Lookup'!$H$6:$H$2819,0),""),"")</f>
        <v/>
      </c>
      <c r="H163" t="str">
        <f t="shared" si="2"/>
        <v/>
      </c>
    </row>
    <row r="164" spans="1:8" ht="19.95" customHeight="1">
      <c r="A164" s="5" t="str">
        <f>IF($G164="","",INDEX('EDS Lookup'!$D$6:$D$2819,$G164))</f>
        <v/>
      </c>
      <c r="B164" s="5" t="str">
        <f>IF($G164="","",INDEX('EDS Lookup'!$B$6:$B$2819,$G164))</f>
        <v/>
      </c>
      <c r="C164" s="17"/>
      <c r="D164" s="6"/>
      <c r="E164" s="7" t="str">
        <f>IF($G164="","",INDEX('EDS Lookup'!$F$6:$F$2819,$G164))</f>
        <v/>
      </c>
      <c r="F164" s="8" t="str">
        <f>IF($G164="","",INDEX('EDS Lookup'!$G$6:$G$2819,$G164))</f>
        <v/>
      </c>
      <c r="G164" t="str">
        <f>IF(141&lt;=$B$4,IFERROR(MATCH(141,'EDS Lookup'!$H$6:$H$2819,0),""),"")</f>
        <v/>
      </c>
      <c r="H164" t="str">
        <f t="shared" si="2"/>
        <v/>
      </c>
    </row>
    <row r="165" spans="1:8" ht="19.95" customHeight="1">
      <c r="A165" s="5" t="str">
        <f>IF($G165="","",INDEX('EDS Lookup'!$D$6:$D$2819,$G165))</f>
        <v/>
      </c>
      <c r="B165" s="5" t="str">
        <f>IF($G165="","",INDEX('EDS Lookup'!$B$6:$B$2819,$G165))</f>
        <v/>
      </c>
      <c r="C165" s="17"/>
      <c r="D165" s="6"/>
      <c r="E165" s="7" t="str">
        <f>IF($G165="","",INDEX('EDS Lookup'!$F$6:$F$2819,$G165))</f>
        <v/>
      </c>
      <c r="F165" s="8" t="str">
        <f>IF($G165="","",INDEX('EDS Lookup'!$G$6:$G$2819,$G165))</f>
        <v/>
      </c>
      <c r="G165" t="str">
        <f>IF(142&lt;=$B$4,IFERROR(MATCH(142,'EDS Lookup'!$H$6:$H$2819,0),""),"")</f>
        <v/>
      </c>
      <c r="H165" t="str">
        <f t="shared" si="2"/>
        <v/>
      </c>
    </row>
    <row r="166" spans="1:8" ht="19.95" customHeight="1">
      <c r="A166" s="5" t="str">
        <f>IF($G166="","",INDEX('EDS Lookup'!$D$6:$D$2819,$G166))</f>
        <v/>
      </c>
      <c r="B166" s="5" t="str">
        <f>IF($G166="","",INDEX('EDS Lookup'!$B$6:$B$2819,$G166))</f>
        <v/>
      </c>
      <c r="C166" s="17"/>
      <c r="D166" s="6"/>
      <c r="E166" s="7" t="str">
        <f>IF($G166="","",INDEX('EDS Lookup'!$F$6:$F$2819,$G166))</f>
        <v/>
      </c>
      <c r="F166" s="8" t="str">
        <f>IF($G166="","",INDEX('EDS Lookup'!$G$6:$G$2819,$G166))</f>
        <v/>
      </c>
      <c r="G166" t="str">
        <f>IF(143&lt;=$B$4,IFERROR(MATCH(143,'EDS Lookup'!$H$6:$H$2819,0),""),"")</f>
        <v/>
      </c>
      <c r="H166" t="str">
        <f t="shared" si="2"/>
        <v/>
      </c>
    </row>
    <row r="167" spans="1:8" ht="19.95" customHeight="1">
      <c r="A167" s="5" t="str">
        <f>IF($G167="","",INDEX('EDS Lookup'!$D$6:$D$2819,$G167))</f>
        <v/>
      </c>
      <c r="B167" s="5" t="str">
        <f>IF($G167="","",INDEX('EDS Lookup'!$B$6:$B$2819,$G167))</f>
        <v/>
      </c>
      <c r="C167" s="17"/>
      <c r="D167" s="6"/>
      <c r="E167" s="7" t="str">
        <f>IF($G167="","",INDEX('EDS Lookup'!$F$6:$F$2819,$G167))</f>
        <v/>
      </c>
      <c r="F167" s="8" t="str">
        <f>IF($G167="","",INDEX('EDS Lookup'!$G$6:$G$2819,$G167))</f>
        <v/>
      </c>
      <c r="G167" t="str">
        <f>IF(144&lt;=$B$4,IFERROR(MATCH(144,'EDS Lookup'!$H$6:$H$2819,0),""),"")</f>
        <v/>
      </c>
      <c r="H167" t="str">
        <f t="shared" si="2"/>
        <v/>
      </c>
    </row>
    <row r="168" spans="1:8" ht="19.95" customHeight="1">
      <c r="A168" s="5" t="str">
        <f>IF($G168="","",INDEX('EDS Lookup'!$D$6:$D$2819,$G168))</f>
        <v/>
      </c>
      <c r="B168" s="5" t="str">
        <f>IF($G168="","",INDEX('EDS Lookup'!$B$6:$B$2819,$G168))</f>
        <v/>
      </c>
      <c r="C168" s="17"/>
      <c r="D168" s="6"/>
      <c r="E168" s="7" t="str">
        <f>IF($G168="","",INDEX('EDS Lookup'!$F$6:$F$2819,$G168))</f>
        <v/>
      </c>
      <c r="F168" s="8" t="str">
        <f>IF($G168="","",INDEX('EDS Lookup'!$G$6:$G$2819,$G168))</f>
        <v/>
      </c>
      <c r="G168" t="str">
        <f>IF(145&lt;=$B$4,IFERROR(MATCH(145,'EDS Lookup'!$H$6:$H$2819,0),""),"")</f>
        <v/>
      </c>
      <c r="H168" t="str">
        <f t="shared" si="2"/>
        <v/>
      </c>
    </row>
    <row r="169" spans="1:8" ht="19.95" customHeight="1">
      <c r="A169" s="5" t="str">
        <f>IF($G169="","",INDEX('EDS Lookup'!$D$6:$D$2819,$G169))</f>
        <v/>
      </c>
      <c r="B169" s="5" t="str">
        <f>IF($G169="","",INDEX('EDS Lookup'!$B$6:$B$2819,$G169))</f>
        <v/>
      </c>
      <c r="C169" s="17"/>
      <c r="D169" s="6"/>
      <c r="E169" s="7" t="str">
        <f>IF($G169="","",INDEX('EDS Lookup'!$F$6:$F$2819,$G169))</f>
        <v/>
      </c>
      <c r="F169" s="8" t="str">
        <f>IF($G169="","",INDEX('EDS Lookup'!$G$6:$G$2819,$G169))</f>
        <v/>
      </c>
      <c r="G169" t="str">
        <f>IF(146&lt;=$B$4,IFERROR(MATCH(146,'EDS Lookup'!$H$6:$H$2819,0),""),"")</f>
        <v/>
      </c>
      <c r="H169" t="str">
        <f t="shared" si="2"/>
        <v/>
      </c>
    </row>
    <row r="170" spans="1:8" ht="19.95" customHeight="1">
      <c r="A170" s="5" t="str">
        <f>IF($G170="","",INDEX('EDS Lookup'!$D$6:$D$2819,$G170))</f>
        <v/>
      </c>
      <c r="B170" s="5" t="str">
        <f>IF($G170="","",INDEX('EDS Lookup'!$B$6:$B$2819,$G170))</f>
        <v/>
      </c>
      <c r="C170" s="17"/>
      <c r="D170" s="6"/>
      <c r="E170" s="7" t="str">
        <f>IF($G170="","",INDEX('EDS Lookup'!$F$6:$F$2819,$G170))</f>
        <v/>
      </c>
      <c r="F170" s="8" t="str">
        <f>IF($G170="","",INDEX('EDS Lookup'!$G$6:$G$2819,$G170))</f>
        <v/>
      </c>
      <c r="G170" t="str">
        <f>IF(147&lt;=$B$4,IFERROR(MATCH(147,'EDS Lookup'!$H$6:$H$2819,0),""),"")</f>
        <v/>
      </c>
      <c r="H170" t="str">
        <f t="shared" si="2"/>
        <v/>
      </c>
    </row>
    <row r="171" spans="1:8" ht="19.95" customHeight="1">
      <c r="A171" s="5" t="str">
        <f>IF($G171="","",INDEX('EDS Lookup'!$D$6:$D$2819,$G171))</f>
        <v/>
      </c>
      <c r="B171" s="5" t="str">
        <f>IF($G171="","",INDEX('EDS Lookup'!$B$6:$B$2819,$G171))</f>
        <v/>
      </c>
      <c r="C171" s="17"/>
      <c r="D171" s="6"/>
      <c r="E171" s="7" t="str">
        <f>IF($G171="","",INDEX('EDS Lookup'!$F$6:$F$2819,$G171))</f>
        <v/>
      </c>
      <c r="F171" s="8" t="str">
        <f>IF($G171="","",INDEX('EDS Lookup'!$G$6:$G$2819,$G171))</f>
        <v/>
      </c>
      <c r="G171" t="str">
        <f>IF(148&lt;=$B$4,IFERROR(MATCH(148,'EDS Lookup'!$H$6:$H$2819,0),""),"")</f>
        <v/>
      </c>
      <c r="H171" t="str">
        <f t="shared" si="2"/>
        <v/>
      </c>
    </row>
    <row r="172" spans="1:8" ht="19.95" customHeight="1">
      <c r="A172" s="5" t="str">
        <f>IF($G172="","",INDEX('EDS Lookup'!$D$6:$D$2819,$G172))</f>
        <v/>
      </c>
      <c r="B172" s="5" t="str">
        <f>IF($G172="","",INDEX('EDS Lookup'!$B$6:$B$2819,$G172))</f>
        <v/>
      </c>
      <c r="C172" s="17"/>
      <c r="D172" s="6"/>
      <c r="E172" s="7" t="str">
        <f>IF($G172="","",INDEX('EDS Lookup'!$F$6:$F$2819,$G172))</f>
        <v/>
      </c>
      <c r="F172" s="8" t="str">
        <f>IF($G172="","",INDEX('EDS Lookup'!$G$6:$G$2819,$G172))</f>
        <v/>
      </c>
      <c r="G172" t="str">
        <f>IF(149&lt;=$B$4,IFERROR(MATCH(149,'EDS Lookup'!$H$6:$H$2819,0),""),"")</f>
        <v/>
      </c>
      <c r="H172" t="str">
        <f t="shared" si="2"/>
        <v/>
      </c>
    </row>
    <row r="173" spans="1:8" ht="19.95" customHeight="1">
      <c r="A173" s="5" t="str">
        <f>IF($G173="","",INDEX('EDS Lookup'!$D$6:$D$2819,$G173))</f>
        <v/>
      </c>
      <c r="B173" s="5" t="str">
        <f>IF($G173="","",INDEX('EDS Lookup'!$B$6:$B$2819,$G173))</f>
        <v/>
      </c>
      <c r="C173" s="17"/>
      <c r="D173" s="6"/>
      <c r="E173" s="7" t="str">
        <f>IF($G173="","",INDEX('EDS Lookup'!$F$6:$F$2819,$G173))</f>
        <v/>
      </c>
      <c r="F173" s="8" t="str">
        <f>IF($G173="","",INDEX('EDS Lookup'!$G$6:$G$2819,$G173))</f>
        <v/>
      </c>
      <c r="G173" t="str">
        <f>IF(150&lt;=$B$4,IFERROR(MATCH(150,'EDS Lookup'!$H$6:$H$2819,0),""),"")</f>
        <v/>
      </c>
      <c r="H173" t="str">
        <f t="shared" si="2"/>
        <v/>
      </c>
    </row>
    <row r="174" spans="1:8" ht="19.95" customHeight="1">
      <c r="A174" s="5" t="str">
        <f>IF($G174="","",INDEX('EDS Lookup'!$D$6:$D$2819,$G174))</f>
        <v/>
      </c>
      <c r="B174" s="5" t="str">
        <f>IF($G174="","",INDEX('EDS Lookup'!$B$6:$B$2819,$G174))</f>
        <v/>
      </c>
      <c r="C174" s="17"/>
      <c r="D174" s="6"/>
      <c r="E174" s="7" t="str">
        <f>IF($G174="","",INDEX('EDS Lookup'!$F$6:$F$2819,$G174))</f>
        <v/>
      </c>
      <c r="F174" s="8" t="str">
        <f>IF($G174="","",INDEX('EDS Lookup'!$G$6:$G$2819,$G174))</f>
        <v/>
      </c>
      <c r="G174" t="str">
        <f>IF(151&lt;=$B$4,IFERROR(MATCH(151,'EDS Lookup'!$H$6:$H$2819,0),""),"")</f>
        <v/>
      </c>
      <c r="H174" t="str">
        <f t="shared" si="2"/>
        <v/>
      </c>
    </row>
    <row r="175" spans="1:8" ht="19.95" customHeight="1">
      <c r="A175" s="5" t="str">
        <f>IF($G175="","",INDEX('EDS Lookup'!$D$6:$D$2819,$G175))</f>
        <v/>
      </c>
      <c r="B175" s="5" t="str">
        <f>IF($G175="","",INDEX('EDS Lookup'!$B$6:$B$2819,$G175))</f>
        <v/>
      </c>
      <c r="C175" s="17"/>
      <c r="D175" s="6"/>
      <c r="E175" s="7" t="str">
        <f>IF($G175="","",INDEX('EDS Lookup'!$F$6:$F$2819,$G175))</f>
        <v/>
      </c>
      <c r="F175" s="8" t="str">
        <f>IF($G175="","",INDEX('EDS Lookup'!$G$6:$G$2819,$G175))</f>
        <v/>
      </c>
      <c r="G175" t="str">
        <f>IF(152&lt;=$B$4,IFERROR(MATCH(152,'EDS Lookup'!$H$6:$H$2819,0),""),"")</f>
        <v/>
      </c>
      <c r="H175" t="str">
        <f t="shared" si="2"/>
        <v/>
      </c>
    </row>
    <row r="176" spans="1:8" ht="19.95" customHeight="1">
      <c r="A176" s="5" t="str">
        <f>IF($G176="","",INDEX('EDS Lookup'!$D$6:$D$2819,$G176))</f>
        <v/>
      </c>
      <c r="B176" s="5" t="str">
        <f>IF($G176="","",INDEX('EDS Lookup'!$B$6:$B$2819,$G176))</f>
        <v/>
      </c>
      <c r="C176" s="17"/>
      <c r="D176" s="6"/>
      <c r="E176" s="7" t="str">
        <f>IF($G176="","",INDEX('EDS Lookup'!$F$6:$F$2819,$G176))</f>
        <v/>
      </c>
      <c r="F176" s="8" t="str">
        <f>IF($G176="","",INDEX('EDS Lookup'!$G$6:$G$2819,$G176))</f>
        <v/>
      </c>
      <c r="G176" t="str">
        <f>IF(153&lt;=$B$4,IFERROR(MATCH(153,'EDS Lookup'!$H$6:$H$2819,0),""),"")</f>
        <v/>
      </c>
      <c r="H176" t="str">
        <f t="shared" si="2"/>
        <v/>
      </c>
    </row>
    <row r="177" spans="1:8" ht="19.95" customHeight="1">
      <c r="A177" s="5" t="str">
        <f>IF($G177="","",INDEX('EDS Lookup'!$D$6:$D$2819,$G177))</f>
        <v/>
      </c>
      <c r="B177" s="5" t="str">
        <f>IF($G177="","",INDEX('EDS Lookup'!$B$6:$B$2819,$G177))</f>
        <v/>
      </c>
      <c r="C177" s="17"/>
      <c r="D177" s="6"/>
      <c r="E177" s="7" t="str">
        <f>IF($G177="","",INDEX('EDS Lookup'!$F$6:$F$2819,$G177))</f>
        <v/>
      </c>
      <c r="F177" s="8" t="str">
        <f>IF($G177="","",INDEX('EDS Lookup'!$G$6:$G$2819,$G177))</f>
        <v/>
      </c>
      <c r="G177" t="str">
        <f>IF(154&lt;=$B$4,IFERROR(MATCH(154,'EDS Lookup'!$H$6:$H$2819,0),""),"")</f>
        <v/>
      </c>
      <c r="H177" t="str">
        <f t="shared" si="2"/>
        <v/>
      </c>
    </row>
    <row r="178" spans="1:8" ht="19.95" customHeight="1">
      <c r="A178" s="5" t="str">
        <f>IF($G178="","",INDEX('EDS Lookup'!$D$6:$D$2819,$G178))</f>
        <v/>
      </c>
      <c r="B178" s="5" t="str">
        <f>IF($G178="","",INDEX('EDS Lookup'!$B$6:$B$2819,$G178))</f>
        <v/>
      </c>
      <c r="C178" s="17"/>
      <c r="D178" s="6"/>
      <c r="E178" s="7" t="str">
        <f>IF($G178="","",INDEX('EDS Lookup'!$F$6:$F$2819,$G178))</f>
        <v/>
      </c>
      <c r="F178" s="8" t="str">
        <f>IF($G178="","",INDEX('EDS Lookup'!$G$6:$G$2819,$G178))</f>
        <v/>
      </c>
      <c r="G178" t="str">
        <f>IF(155&lt;=$B$4,IFERROR(MATCH(155,'EDS Lookup'!$H$6:$H$2819,0),""),"")</f>
        <v/>
      </c>
      <c r="H178" t="str">
        <f t="shared" si="2"/>
        <v/>
      </c>
    </row>
    <row r="179" spans="1:8" ht="19.95" customHeight="1">
      <c r="A179" s="5" t="str">
        <f>IF($G179="","",INDEX('EDS Lookup'!$D$6:$D$2819,$G179))</f>
        <v/>
      </c>
      <c r="B179" s="5" t="str">
        <f>IF($G179="","",INDEX('EDS Lookup'!$B$6:$B$2819,$G179))</f>
        <v/>
      </c>
      <c r="C179" s="17"/>
      <c r="D179" s="6"/>
      <c r="E179" s="7" t="str">
        <f>IF($G179="","",INDEX('EDS Lookup'!$F$6:$F$2819,$G179))</f>
        <v/>
      </c>
      <c r="F179" s="8" t="str">
        <f>IF($G179="","",INDEX('EDS Lookup'!$G$6:$G$2819,$G179))</f>
        <v/>
      </c>
      <c r="G179" t="str">
        <f>IF(156&lt;=$B$4,IFERROR(MATCH(156,'EDS Lookup'!$H$6:$H$2819,0),""),"")</f>
        <v/>
      </c>
      <c r="H179" t="str">
        <f t="shared" si="2"/>
        <v/>
      </c>
    </row>
    <row r="180" spans="1:8" ht="19.95" customHeight="1">
      <c r="A180" s="5" t="str">
        <f>IF($G180="","",INDEX('EDS Lookup'!$D$6:$D$2819,$G180))</f>
        <v/>
      </c>
      <c r="B180" s="5" t="str">
        <f>IF($G180="","",INDEX('EDS Lookup'!$B$6:$B$2819,$G180))</f>
        <v/>
      </c>
      <c r="C180" s="17"/>
      <c r="D180" s="6"/>
      <c r="E180" s="7" t="str">
        <f>IF($G180="","",INDEX('EDS Lookup'!$F$6:$F$2819,$G180))</f>
        <v/>
      </c>
      <c r="F180" s="8" t="str">
        <f>IF($G180="","",INDEX('EDS Lookup'!$G$6:$G$2819,$G180))</f>
        <v/>
      </c>
      <c r="G180" t="str">
        <f>IF(157&lt;=$B$4,IFERROR(MATCH(157,'EDS Lookup'!$H$6:$H$2819,0),""),"")</f>
        <v/>
      </c>
      <c r="H180" t="str">
        <f t="shared" si="2"/>
        <v/>
      </c>
    </row>
    <row r="181" spans="1:8" ht="19.95" customHeight="1">
      <c r="A181" s="5" t="str">
        <f>IF($G181="","",INDEX('EDS Lookup'!$D$6:$D$2819,$G181))</f>
        <v/>
      </c>
      <c r="B181" s="5" t="str">
        <f>IF($G181="","",INDEX('EDS Lookup'!$B$6:$B$2819,$G181))</f>
        <v/>
      </c>
      <c r="C181" s="17"/>
      <c r="D181" s="6"/>
      <c r="E181" s="7" t="str">
        <f>IF($G181="","",INDEX('EDS Lookup'!$F$6:$F$2819,$G181))</f>
        <v/>
      </c>
      <c r="F181" s="8" t="str">
        <f>IF($G181="","",INDEX('EDS Lookup'!$G$6:$G$2819,$G181))</f>
        <v/>
      </c>
      <c r="G181" t="str">
        <f>IF(158&lt;=$B$4,IFERROR(MATCH(158,'EDS Lookup'!$H$6:$H$2819,0),""),"")</f>
        <v/>
      </c>
      <c r="H181" t="str">
        <f t="shared" si="2"/>
        <v/>
      </c>
    </row>
    <row r="182" spans="1:8" ht="19.95" customHeight="1">
      <c r="A182" s="5" t="str">
        <f>IF($G182="","",INDEX('EDS Lookup'!$D$6:$D$2819,$G182))</f>
        <v/>
      </c>
      <c r="B182" s="5" t="str">
        <f>IF($G182="","",INDEX('EDS Lookup'!$B$6:$B$2819,$G182))</f>
        <v/>
      </c>
      <c r="C182" s="17"/>
      <c r="D182" s="6"/>
      <c r="E182" s="7" t="str">
        <f>IF($G182="","",INDEX('EDS Lookup'!$F$6:$F$2819,$G182))</f>
        <v/>
      </c>
      <c r="F182" s="8" t="str">
        <f>IF($G182="","",INDEX('EDS Lookup'!$G$6:$G$2819,$G182))</f>
        <v/>
      </c>
      <c r="G182" t="str">
        <f>IF(159&lt;=$B$4,IFERROR(MATCH(159,'EDS Lookup'!$H$6:$H$2819,0),""),"")</f>
        <v/>
      </c>
      <c r="H182" t="str">
        <f t="shared" si="2"/>
        <v/>
      </c>
    </row>
    <row r="183" spans="1:8" ht="19.95" customHeight="1">
      <c r="A183" s="5" t="str">
        <f>IF($G183="","",INDEX('EDS Lookup'!$D$6:$D$2819,$G183))</f>
        <v/>
      </c>
      <c r="B183" s="5" t="str">
        <f>IF($G183="","",INDEX('EDS Lookup'!$B$6:$B$2819,$G183))</f>
        <v/>
      </c>
      <c r="C183" s="17"/>
      <c r="D183" s="6"/>
      <c r="E183" s="7" t="str">
        <f>IF($G183="","",INDEX('EDS Lookup'!$F$6:$F$2819,$G183))</f>
        <v/>
      </c>
      <c r="F183" s="8" t="str">
        <f>IF($G183="","",INDEX('EDS Lookup'!$G$6:$G$2819,$G183))</f>
        <v/>
      </c>
      <c r="G183" t="str">
        <f>IF(160&lt;=$B$4,IFERROR(MATCH(160,'EDS Lookup'!$H$6:$H$2819,0),""),"")</f>
        <v/>
      </c>
      <c r="H183" t="str">
        <f t="shared" si="2"/>
        <v/>
      </c>
    </row>
    <row r="184" spans="1:8" ht="19.95" customHeight="1">
      <c r="A184" s="5" t="str">
        <f>IF($G184="","",INDEX('EDS Lookup'!$D$6:$D$2819,$G184))</f>
        <v/>
      </c>
      <c r="B184" s="5" t="str">
        <f>IF($G184="","",INDEX('EDS Lookup'!$B$6:$B$2819,$G184))</f>
        <v/>
      </c>
      <c r="C184" s="17"/>
      <c r="D184" s="6"/>
      <c r="E184" s="7" t="str">
        <f>IF($G184="","",INDEX('EDS Lookup'!$F$6:$F$2819,$G184))</f>
        <v/>
      </c>
      <c r="F184" s="8" t="str">
        <f>IF($G184="","",INDEX('EDS Lookup'!$G$6:$G$2819,$G184))</f>
        <v/>
      </c>
      <c r="G184" t="str">
        <f>IF(161&lt;=$B$4,IFERROR(MATCH(161,'EDS Lookup'!$H$6:$H$2819,0),""),"")</f>
        <v/>
      </c>
      <c r="H184" t="str">
        <f t="shared" si="2"/>
        <v/>
      </c>
    </row>
    <row r="185" spans="1:8" ht="19.95" customHeight="1">
      <c r="A185" s="5" t="str">
        <f>IF($G185="","",INDEX('EDS Lookup'!$D$6:$D$2819,$G185))</f>
        <v/>
      </c>
      <c r="B185" s="5" t="str">
        <f>IF($G185="","",INDEX('EDS Lookup'!$B$6:$B$2819,$G185))</f>
        <v/>
      </c>
      <c r="C185" s="17"/>
      <c r="D185" s="6"/>
      <c r="E185" s="7" t="str">
        <f>IF($G185="","",INDEX('EDS Lookup'!$F$6:$F$2819,$G185))</f>
        <v/>
      </c>
      <c r="F185" s="8" t="str">
        <f>IF($G185="","",INDEX('EDS Lookup'!$G$6:$G$2819,$G185))</f>
        <v/>
      </c>
      <c r="G185" t="str">
        <f>IF(162&lt;=$B$4,IFERROR(MATCH(162,'EDS Lookup'!$H$6:$H$2819,0),""),"")</f>
        <v/>
      </c>
      <c r="H185" t="str">
        <f t="shared" si="2"/>
        <v/>
      </c>
    </row>
    <row r="186" spans="1:8" ht="19.95" customHeight="1">
      <c r="A186" s="5" t="str">
        <f>IF($G186="","",INDEX('EDS Lookup'!$D$6:$D$2819,$G186))</f>
        <v/>
      </c>
      <c r="B186" s="5" t="str">
        <f>IF($G186="","",INDEX('EDS Lookup'!$B$6:$B$2819,$G186))</f>
        <v/>
      </c>
      <c r="C186" s="17"/>
      <c r="D186" s="6"/>
      <c r="E186" s="7" t="str">
        <f>IF($G186="","",INDEX('EDS Lookup'!$F$6:$F$2819,$G186))</f>
        <v/>
      </c>
      <c r="F186" s="8" t="str">
        <f>IF($G186="","",INDEX('EDS Lookup'!$G$6:$G$2819,$G186))</f>
        <v/>
      </c>
      <c r="G186" t="str">
        <f>IF(163&lt;=$B$4,IFERROR(MATCH(163,'EDS Lookup'!$H$6:$H$2819,0),""),"")</f>
        <v/>
      </c>
      <c r="H186" t="str">
        <f t="shared" si="2"/>
        <v/>
      </c>
    </row>
    <row r="187" spans="1:8" ht="19.95" customHeight="1">
      <c r="A187" s="5" t="str">
        <f>IF($G187="","",INDEX('EDS Lookup'!$D$6:$D$2819,$G187))</f>
        <v/>
      </c>
      <c r="B187" s="5" t="str">
        <f>IF($G187="","",INDEX('EDS Lookup'!$B$6:$B$2819,$G187))</f>
        <v/>
      </c>
      <c r="C187" s="17"/>
      <c r="D187" s="6"/>
      <c r="E187" s="7" t="str">
        <f>IF($G187="","",INDEX('EDS Lookup'!$F$6:$F$2819,$G187))</f>
        <v/>
      </c>
      <c r="F187" s="8" t="str">
        <f>IF($G187="","",INDEX('EDS Lookup'!$G$6:$G$2819,$G187))</f>
        <v/>
      </c>
      <c r="G187" t="str">
        <f>IF(164&lt;=$B$4,IFERROR(MATCH(164,'EDS Lookup'!$H$6:$H$2819,0),""),"")</f>
        <v/>
      </c>
      <c r="H187" t="str">
        <f t="shared" si="2"/>
        <v/>
      </c>
    </row>
    <row r="188" spans="1:8" ht="19.95" customHeight="1">
      <c r="A188" s="5" t="str">
        <f>IF($G188="","",INDEX('EDS Lookup'!$D$6:$D$2819,$G188))</f>
        <v/>
      </c>
      <c r="B188" s="5" t="str">
        <f>IF($G188="","",INDEX('EDS Lookup'!$B$6:$B$2819,$G188))</f>
        <v/>
      </c>
      <c r="C188" s="17"/>
      <c r="D188" s="6"/>
      <c r="E188" s="7" t="str">
        <f>IF($G188="","",INDEX('EDS Lookup'!$F$6:$F$2819,$G188))</f>
        <v/>
      </c>
      <c r="F188" s="8" t="str">
        <f>IF($G188="","",INDEX('EDS Lookup'!$G$6:$G$2819,$G188))</f>
        <v/>
      </c>
      <c r="G188" t="str">
        <f>IF(165&lt;=$B$4,IFERROR(MATCH(165,'EDS Lookup'!$H$6:$H$2819,0),""),"")</f>
        <v/>
      </c>
      <c r="H188" t="str">
        <f t="shared" si="2"/>
        <v/>
      </c>
    </row>
    <row r="189" spans="1:8" ht="19.95" customHeight="1">
      <c r="A189" s="5" t="str">
        <f>IF($G189="","",INDEX('EDS Lookup'!$D$6:$D$2819,$G189))</f>
        <v/>
      </c>
      <c r="B189" s="5" t="str">
        <f>IF($G189="","",INDEX('EDS Lookup'!$B$6:$B$2819,$G189))</f>
        <v/>
      </c>
      <c r="C189" s="17"/>
      <c r="D189" s="6"/>
      <c r="E189" s="7" t="str">
        <f>IF($G189="","",INDEX('EDS Lookup'!$F$6:$F$2819,$G189))</f>
        <v/>
      </c>
      <c r="F189" s="8" t="str">
        <f>IF($G189="","",INDEX('EDS Lookup'!$G$6:$G$2819,$G189))</f>
        <v/>
      </c>
      <c r="G189" t="str">
        <f>IF(166&lt;=$B$4,IFERROR(MATCH(166,'EDS Lookup'!$H$6:$H$2819,0),""),"")</f>
        <v/>
      </c>
      <c r="H189" t="str">
        <f t="shared" si="2"/>
        <v/>
      </c>
    </row>
    <row r="190" spans="1:8" ht="19.95" customHeight="1">
      <c r="A190" s="5" t="str">
        <f>IF($G190="","",INDEX('EDS Lookup'!$D$6:$D$2819,$G190))</f>
        <v/>
      </c>
      <c r="B190" s="5" t="str">
        <f>IF($G190="","",INDEX('EDS Lookup'!$B$6:$B$2819,$G190))</f>
        <v/>
      </c>
      <c r="C190" s="17"/>
      <c r="D190" s="6"/>
      <c r="E190" s="7" t="str">
        <f>IF($G190="","",INDEX('EDS Lookup'!$F$6:$F$2819,$G190))</f>
        <v/>
      </c>
      <c r="F190" s="8" t="str">
        <f>IF($G190="","",INDEX('EDS Lookup'!$G$6:$G$2819,$G190))</f>
        <v/>
      </c>
      <c r="G190" t="str">
        <f>IF(167&lt;=$B$4,IFERROR(MATCH(167,'EDS Lookup'!$H$6:$H$2819,0),""),"")</f>
        <v/>
      </c>
      <c r="H190" t="str">
        <f t="shared" si="2"/>
        <v/>
      </c>
    </row>
    <row r="191" spans="1:8" ht="19.95" customHeight="1">
      <c r="A191" s="5" t="str">
        <f>IF($G191="","",INDEX('EDS Lookup'!$D$6:$D$2819,$G191))</f>
        <v/>
      </c>
      <c r="B191" s="5" t="str">
        <f>IF($G191="","",INDEX('EDS Lookup'!$B$6:$B$2819,$G191))</f>
        <v/>
      </c>
      <c r="C191" s="17"/>
      <c r="D191" s="6"/>
      <c r="E191" s="7" t="str">
        <f>IF($G191="","",INDEX('EDS Lookup'!$F$6:$F$2819,$G191))</f>
        <v/>
      </c>
      <c r="F191" s="8" t="str">
        <f>IF($G191="","",INDEX('EDS Lookup'!$G$6:$G$2819,$G191))</f>
        <v/>
      </c>
      <c r="G191" t="str">
        <f>IF(168&lt;=$B$4,IFERROR(MATCH(168,'EDS Lookup'!$H$6:$H$2819,0),""),"")</f>
        <v/>
      </c>
      <c r="H191" t="str">
        <f t="shared" si="2"/>
        <v/>
      </c>
    </row>
    <row r="192" spans="1:8" ht="19.95" customHeight="1">
      <c r="A192" s="5" t="str">
        <f>IF($G192="","",INDEX('EDS Lookup'!$D$6:$D$2819,$G192))</f>
        <v/>
      </c>
      <c r="B192" s="5" t="str">
        <f>IF($G192="","",INDEX('EDS Lookup'!$B$6:$B$2819,$G192))</f>
        <v/>
      </c>
      <c r="C192" s="17"/>
      <c r="D192" s="6"/>
      <c r="E192" s="7" t="str">
        <f>IF($G192="","",INDEX('EDS Lookup'!$F$6:$F$2819,$G192))</f>
        <v/>
      </c>
      <c r="F192" s="8" t="str">
        <f>IF($G192="","",INDEX('EDS Lookup'!$G$6:$G$2819,$G192))</f>
        <v/>
      </c>
      <c r="G192" t="str">
        <f>IF(169&lt;=$B$4,IFERROR(MATCH(169,'EDS Lookup'!$H$6:$H$2819,0),""),"")</f>
        <v/>
      </c>
      <c r="H192" t="str">
        <f t="shared" si="2"/>
        <v/>
      </c>
    </row>
    <row r="193" spans="1:8" ht="19.95" customHeight="1">
      <c r="A193" s="5" t="str">
        <f>IF($G193="","",INDEX('EDS Lookup'!$D$6:$D$2819,$G193))</f>
        <v/>
      </c>
      <c r="B193" s="5" t="str">
        <f>IF($G193="","",INDEX('EDS Lookup'!$B$6:$B$2819,$G193))</f>
        <v/>
      </c>
      <c r="C193" s="17"/>
      <c r="D193" s="6"/>
      <c r="E193" s="7" t="str">
        <f>IF($G193="","",INDEX('EDS Lookup'!$F$6:$F$2819,$G193))</f>
        <v/>
      </c>
      <c r="F193" s="8" t="str">
        <f>IF($G193="","",INDEX('EDS Lookup'!$G$6:$G$2819,$G193))</f>
        <v/>
      </c>
      <c r="G193" t="str">
        <f>IF(170&lt;=$B$4,IFERROR(MATCH(170,'EDS Lookup'!$H$6:$H$2819,0),""),"")</f>
        <v/>
      </c>
      <c r="H193" t="str">
        <f t="shared" si="2"/>
        <v/>
      </c>
    </row>
    <row r="194" spans="1:8" ht="19.95" customHeight="1">
      <c r="A194" s="5" t="str">
        <f>IF($G194="","",INDEX('EDS Lookup'!$D$6:$D$2819,$G194))</f>
        <v/>
      </c>
      <c r="B194" s="5" t="str">
        <f>IF($G194="","",INDEX('EDS Lookup'!$B$6:$B$2819,$G194))</f>
        <v/>
      </c>
      <c r="C194" s="17"/>
      <c r="D194" s="6"/>
      <c r="E194" s="7" t="str">
        <f>IF($G194="","",INDEX('EDS Lookup'!$F$6:$F$2819,$G194))</f>
        <v/>
      </c>
      <c r="F194" s="8" t="str">
        <f>IF($G194="","",INDEX('EDS Lookup'!$G$6:$G$2819,$G194))</f>
        <v/>
      </c>
      <c r="G194" t="str">
        <f>IF(171&lt;=$B$4,IFERROR(MATCH(171,'EDS Lookup'!$H$6:$H$2819,0),""),"")</f>
        <v/>
      </c>
      <c r="H194" t="str">
        <f t="shared" si="2"/>
        <v/>
      </c>
    </row>
    <row r="195" spans="1:8" ht="19.95" customHeight="1">
      <c r="A195" s="5" t="str">
        <f>IF($G195="","",INDEX('EDS Lookup'!$D$6:$D$2819,$G195))</f>
        <v/>
      </c>
      <c r="B195" s="5" t="str">
        <f>IF($G195="","",INDEX('EDS Lookup'!$B$6:$B$2819,$G195))</f>
        <v/>
      </c>
      <c r="C195" s="17"/>
      <c r="D195" s="6"/>
      <c r="E195" s="7" t="str">
        <f>IF($G195="","",INDEX('EDS Lookup'!$F$6:$F$2819,$G195))</f>
        <v/>
      </c>
      <c r="F195" s="8" t="str">
        <f>IF($G195="","",INDEX('EDS Lookup'!$G$6:$G$2819,$G195))</f>
        <v/>
      </c>
      <c r="G195" t="str">
        <f>IF(172&lt;=$B$4,IFERROR(MATCH(172,'EDS Lookup'!$H$6:$H$2819,0),""),"")</f>
        <v/>
      </c>
      <c r="H195" t="str">
        <f t="shared" si="2"/>
        <v/>
      </c>
    </row>
    <row r="196" spans="1:8" ht="19.95" customHeight="1">
      <c r="A196" s="5" t="str">
        <f>IF($G196="","",INDEX('EDS Lookup'!$D$6:$D$2819,$G196))</f>
        <v/>
      </c>
      <c r="B196" s="5" t="str">
        <f>IF($G196="","",INDEX('EDS Lookup'!$B$6:$B$2819,$G196))</f>
        <v/>
      </c>
      <c r="C196" s="17"/>
      <c r="D196" s="6"/>
      <c r="E196" s="7" t="str">
        <f>IF($G196="","",INDEX('EDS Lookup'!$F$6:$F$2819,$G196))</f>
        <v/>
      </c>
      <c r="F196" s="8" t="str">
        <f>IF($G196="","",INDEX('EDS Lookup'!$G$6:$G$2819,$G196))</f>
        <v/>
      </c>
      <c r="G196" t="str">
        <f>IF(173&lt;=$B$4,IFERROR(MATCH(173,'EDS Lookup'!$H$6:$H$2819,0),""),"")</f>
        <v/>
      </c>
      <c r="H196" t="str">
        <f t="shared" si="2"/>
        <v/>
      </c>
    </row>
    <row r="197" spans="1:8" ht="19.95" customHeight="1">
      <c r="A197" s="5" t="str">
        <f>IF($G197="","",INDEX('EDS Lookup'!$D$6:$D$2819,$G197))</f>
        <v/>
      </c>
      <c r="B197" s="5" t="str">
        <f>IF($G197="","",INDEX('EDS Lookup'!$B$6:$B$2819,$G197))</f>
        <v/>
      </c>
      <c r="C197" s="17"/>
      <c r="D197" s="6"/>
      <c r="E197" s="7" t="str">
        <f>IF($G197="","",INDEX('EDS Lookup'!$F$6:$F$2819,$G197))</f>
        <v/>
      </c>
      <c r="F197" s="8" t="str">
        <f>IF($G197="","",INDEX('EDS Lookup'!$G$6:$G$2819,$G197))</f>
        <v/>
      </c>
      <c r="G197" t="str">
        <f>IF(174&lt;=$B$4,IFERROR(MATCH(174,'EDS Lookup'!$H$6:$H$2819,0),""),"")</f>
        <v/>
      </c>
      <c r="H197" t="str">
        <f t="shared" si="2"/>
        <v/>
      </c>
    </row>
    <row r="198" spans="1:8" ht="19.95" customHeight="1">
      <c r="A198" s="5" t="str">
        <f>IF($G198="","",INDEX('EDS Lookup'!$D$6:$D$2819,$G198))</f>
        <v/>
      </c>
      <c r="B198" s="5" t="str">
        <f>IF($G198="","",INDEX('EDS Lookup'!$B$6:$B$2819,$G198))</f>
        <v/>
      </c>
      <c r="C198" s="17"/>
      <c r="D198" s="6"/>
      <c r="E198" s="7" t="str">
        <f>IF($G198="","",INDEX('EDS Lookup'!$F$6:$F$2819,$G198))</f>
        <v/>
      </c>
      <c r="F198" s="8" t="str">
        <f>IF($G198="","",INDEX('EDS Lookup'!$G$6:$G$2819,$G198))</f>
        <v/>
      </c>
      <c r="G198" t="str">
        <f>IF(175&lt;=$B$4,IFERROR(MATCH(175,'EDS Lookup'!$H$6:$H$2819,0),""),"")</f>
        <v/>
      </c>
      <c r="H198" t="str">
        <f t="shared" si="2"/>
        <v/>
      </c>
    </row>
    <row r="199" spans="1:8" ht="19.95" customHeight="1">
      <c r="A199" s="5" t="str">
        <f>IF($G199="","",INDEX('EDS Lookup'!$D$6:$D$2819,$G199))</f>
        <v/>
      </c>
      <c r="B199" s="5" t="str">
        <f>IF($G199="","",INDEX('EDS Lookup'!$B$6:$B$2819,$G199))</f>
        <v/>
      </c>
      <c r="C199" s="17"/>
      <c r="D199" s="6"/>
      <c r="E199" s="7" t="str">
        <f>IF($G199="","",INDEX('EDS Lookup'!$F$6:$F$2819,$G199))</f>
        <v/>
      </c>
      <c r="F199" s="8" t="str">
        <f>IF($G199="","",INDEX('EDS Lookup'!$G$6:$G$2819,$G199))</f>
        <v/>
      </c>
      <c r="G199" t="str">
        <f>IF(176&lt;=$B$4,IFERROR(MATCH(176,'EDS Lookup'!$H$6:$H$2819,0),""),"")</f>
        <v/>
      </c>
      <c r="H199" t="str">
        <f t="shared" si="2"/>
        <v/>
      </c>
    </row>
    <row r="200" spans="1:8" ht="19.95" customHeight="1">
      <c r="A200" s="5" t="str">
        <f>IF($G200="","",INDEX('EDS Lookup'!$D$6:$D$2819,$G200))</f>
        <v/>
      </c>
      <c r="B200" s="5" t="str">
        <f>IF($G200="","",INDEX('EDS Lookup'!$B$6:$B$2819,$G200))</f>
        <v/>
      </c>
      <c r="C200" s="17"/>
      <c r="D200" s="6"/>
      <c r="E200" s="7" t="str">
        <f>IF($G200="","",INDEX('EDS Lookup'!$F$6:$F$2819,$G200))</f>
        <v/>
      </c>
      <c r="F200" s="8" t="str">
        <f>IF($G200="","",INDEX('EDS Lookup'!$G$6:$G$2819,$G200))</f>
        <v/>
      </c>
      <c r="G200" t="str">
        <f>IF(177&lt;=$B$4,IFERROR(MATCH(177,'EDS Lookup'!$H$6:$H$2819,0),""),"")</f>
        <v/>
      </c>
      <c r="H200" t="str">
        <f t="shared" si="2"/>
        <v/>
      </c>
    </row>
    <row r="201" spans="1:8" ht="19.95" customHeight="1">
      <c r="A201" s="5" t="str">
        <f>IF($G201="","",INDEX('EDS Lookup'!$D$6:$D$2819,$G201))</f>
        <v/>
      </c>
      <c r="B201" s="5" t="str">
        <f>IF($G201="","",INDEX('EDS Lookup'!$B$6:$B$2819,$G201))</f>
        <v/>
      </c>
      <c r="C201" s="17"/>
      <c r="D201" s="6"/>
      <c r="E201" s="7" t="str">
        <f>IF($G201="","",INDEX('EDS Lookup'!$F$6:$F$2819,$G201))</f>
        <v/>
      </c>
      <c r="F201" s="8" t="str">
        <f>IF($G201="","",INDEX('EDS Lookup'!$G$6:$G$2819,$G201))</f>
        <v/>
      </c>
      <c r="G201" t="str">
        <f>IF(178&lt;=$B$4,IFERROR(MATCH(178,'EDS Lookup'!$H$6:$H$2819,0),""),"")</f>
        <v/>
      </c>
      <c r="H201" t="str">
        <f t="shared" si="2"/>
        <v/>
      </c>
    </row>
    <row r="202" spans="1:8" ht="19.95" customHeight="1">
      <c r="A202" s="5" t="str">
        <f>IF($G202="","",INDEX('EDS Lookup'!$D$6:$D$2819,$G202))</f>
        <v/>
      </c>
      <c r="B202" s="5" t="str">
        <f>IF($G202="","",INDEX('EDS Lookup'!$B$6:$B$2819,$G202))</f>
        <v/>
      </c>
      <c r="C202" s="17"/>
      <c r="D202" s="6"/>
      <c r="E202" s="7" t="str">
        <f>IF($G202="","",INDEX('EDS Lookup'!$F$6:$F$2819,$G202))</f>
        <v/>
      </c>
      <c r="F202" s="8" t="str">
        <f>IF($G202="","",INDEX('EDS Lookup'!$G$6:$G$2819,$G202))</f>
        <v/>
      </c>
      <c r="G202" t="str">
        <f>IF(179&lt;=$B$4,IFERROR(MATCH(179,'EDS Lookup'!$H$6:$H$2819,0),""),"")</f>
        <v/>
      </c>
      <c r="H202" t="str">
        <f t="shared" si="2"/>
        <v/>
      </c>
    </row>
    <row r="203" spans="1:8" ht="19.95" customHeight="1">
      <c r="A203" s="5" t="str">
        <f>IF($G203="","",INDEX('EDS Lookup'!$D$6:$D$2819,$G203))</f>
        <v/>
      </c>
      <c r="B203" s="5" t="str">
        <f>IF($G203="","",INDEX('EDS Lookup'!$B$6:$B$2819,$G203))</f>
        <v/>
      </c>
      <c r="C203" s="17"/>
      <c r="D203" s="6"/>
      <c r="E203" s="7" t="str">
        <f>IF($G203="","",INDEX('EDS Lookup'!$F$6:$F$2819,$G203))</f>
        <v/>
      </c>
      <c r="F203" s="8" t="str">
        <f>IF($G203="","",INDEX('EDS Lookup'!$G$6:$G$2819,$G203))</f>
        <v/>
      </c>
      <c r="G203" t="str">
        <f>IF(180&lt;=$B$4,IFERROR(MATCH(180,'EDS Lookup'!$H$6:$H$2819,0),""),"")</f>
        <v/>
      </c>
      <c r="H203" t="str">
        <f t="shared" si="2"/>
        <v/>
      </c>
    </row>
    <row r="204" spans="1:8" ht="19.95" customHeight="1">
      <c r="A204" s="5" t="str">
        <f>IF($G204="","",INDEX('EDS Lookup'!$D$6:$D$2819,$G204))</f>
        <v/>
      </c>
      <c r="B204" s="5" t="str">
        <f>IF($G204="","",INDEX('EDS Lookup'!$B$6:$B$2819,$G204))</f>
        <v/>
      </c>
      <c r="C204" s="17"/>
      <c r="D204" s="6"/>
      <c r="E204" s="7" t="str">
        <f>IF($G204="","",INDEX('EDS Lookup'!$F$6:$F$2819,$G204))</f>
        <v/>
      </c>
      <c r="F204" s="8" t="str">
        <f>IF($G204="","",INDEX('EDS Lookup'!$G$6:$G$2819,$G204))</f>
        <v/>
      </c>
      <c r="G204" t="str">
        <f>IF(181&lt;=$B$4,IFERROR(MATCH(181,'EDS Lookup'!$H$6:$H$2819,0),""),"")</f>
        <v/>
      </c>
      <c r="H204" t="str">
        <f t="shared" si="2"/>
        <v/>
      </c>
    </row>
    <row r="205" spans="1:8" ht="19.95" customHeight="1">
      <c r="A205" s="5" t="str">
        <f>IF($G205="","",INDEX('EDS Lookup'!$D$6:$D$2819,$G205))</f>
        <v/>
      </c>
      <c r="B205" s="5" t="str">
        <f>IF($G205="","",INDEX('EDS Lookup'!$B$6:$B$2819,$G205))</f>
        <v/>
      </c>
      <c r="C205" s="17"/>
      <c r="D205" s="6"/>
      <c r="E205" s="7" t="str">
        <f>IF($G205="","",INDEX('EDS Lookup'!$F$6:$F$2819,$G205))</f>
        <v/>
      </c>
      <c r="F205" s="8" t="str">
        <f>IF($G205="","",INDEX('EDS Lookup'!$G$6:$G$2819,$G205))</f>
        <v/>
      </c>
      <c r="G205" t="str">
        <f>IF(182&lt;=$B$4,IFERROR(MATCH(182,'EDS Lookup'!$H$6:$H$2819,0),""),"")</f>
        <v/>
      </c>
      <c r="H205" t="str">
        <f t="shared" si="2"/>
        <v/>
      </c>
    </row>
    <row r="206" spans="1:8" ht="19.95" customHeight="1">
      <c r="A206" s="5" t="str">
        <f>IF($G206="","",INDEX('EDS Lookup'!$D$6:$D$2819,$G206))</f>
        <v/>
      </c>
      <c r="B206" s="5" t="str">
        <f>IF($G206="","",INDEX('EDS Lookup'!$B$6:$B$2819,$G206))</f>
        <v/>
      </c>
      <c r="C206" s="17"/>
      <c r="D206" s="6"/>
      <c r="E206" s="7" t="str">
        <f>IF($G206="","",INDEX('EDS Lookup'!$F$6:$F$2819,$G206))</f>
        <v/>
      </c>
      <c r="F206" s="8" t="str">
        <f>IF($G206="","",INDEX('EDS Lookup'!$G$6:$G$2819,$G206))</f>
        <v/>
      </c>
      <c r="G206" t="str">
        <f>IF(183&lt;=$B$4,IFERROR(MATCH(183,'EDS Lookup'!$H$6:$H$2819,0),""),"")</f>
        <v/>
      </c>
      <c r="H206" t="str">
        <f t="shared" si="2"/>
        <v/>
      </c>
    </row>
    <row r="207" spans="1:8" ht="19.95" customHeight="1">
      <c r="A207" s="5" t="str">
        <f>IF($G207="","",INDEX('EDS Lookup'!$D$6:$D$2819,$G207))</f>
        <v/>
      </c>
      <c r="B207" s="5" t="str">
        <f>IF($G207="","",INDEX('EDS Lookup'!$B$6:$B$2819,$G207))</f>
        <v/>
      </c>
      <c r="C207" s="17"/>
      <c r="D207" s="6"/>
      <c r="E207" s="7" t="str">
        <f>IF($G207="","",INDEX('EDS Lookup'!$F$6:$F$2819,$G207))</f>
        <v/>
      </c>
      <c r="F207" s="8" t="str">
        <f>IF($G207="","",INDEX('EDS Lookup'!$G$6:$G$2819,$G207))</f>
        <v/>
      </c>
      <c r="G207" t="str">
        <f>IF(184&lt;=$B$4,IFERROR(MATCH(184,'EDS Lookup'!$H$6:$H$2819,0),""),"")</f>
        <v/>
      </c>
      <c r="H207" t="str">
        <f t="shared" si="2"/>
        <v/>
      </c>
    </row>
    <row r="208" spans="1:8" ht="19.95" customHeight="1">
      <c r="A208" s="5" t="str">
        <f>IF($G208="","",INDEX('EDS Lookup'!$D$6:$D$2819,$G208))</f>
        <v/>
      </c>
      <c r="B208" s="5" t="str">
        <f>IF($G208="","",INDEX('EDS Lookup'!$B$6:$B$2819,$G208))</f>
        <v/>
      </c>
      <c r="C208" s="17"/>
      <c r="D208" s="6"/>
      <c r="E208" s="7" t="str">
        <f>IF($G208="","",INDEX('EDS Lookup'!$F$6:$F$2819,$G208))</f>
        <v/>
      </c>
      <c r="F208" s="8" t="str">
        <f>IF($G208="","",INDEX('EDS Lookup'!$G$6:$G$2819,$G208))</f>
        <v/>
      </c>
      <c r="G208" t="str">
        <f>IF(185&lt;=$B$4,IFERROR(MATCH(185,'EDS Lookup'!$H$6:$H$2819,0),""),"")</f>
        <v/>
      </c>
      <c r="H208" t="str">
        <f t="shared" si="2"/>
        <v/>
      </c>
    </row>
    <row r="209" spans="1:8" ht="19.95" customHeight="1">
      <c r="A209" s="5" t="str">
        <f>IF($G209="","",INDEX('EDS Lookup'!$D$6:$D$2819,$G209))</f>
        <v/>
      </c>
      <c r="B209" s="5" t="str">
        <f>IF($G209="","",INDEX('EDS Lookup'!$B$6:$B$2819,$G209))</f>
        <v/>
      </c>
      <c r="C209" s="17"/>
      <c r="D209" s="6"/>
      <c r="E209" s="7" t="str">
        <f>IF($G209="","",INDEX('EDS Lookup'!$F$6:$F$2819,$G209))</f>
        <v/>
      </c>
      <c r="F209" s="8" t="str">
        <f>IF($G209="","",INDEX('EDS Lookup'!$G$6:$G$2819,$G209))</f>
        <v/>
      </c>
      <c r="G209" t="str">
        <f>IF(186&lt;=$B$4,IFERROR(MATCH(186,'EDS Lookup'!$H$6:$H$2819,0),""),"")</f>
        <v/>
      </c>
      <c r="H209" t="str">
        <f t="shared" si="2"/>
        <v/>
      </c>
    </row>
    <row r="210" spans="1:8" ht="19.95" customHeight="1">
      <c r="A210" s="5" t="str">
        <f>IF($G210="","",INDEX('EDS Lookup'!$D$6:$D$2819,$G210))</f>
        <v/>
      </c>
      <c r="B210" s="5" t="str">
        <f>IF($G210="","",INDEX('EDS Lookup'!$B$6:$B$2819,$G210))</f>
        <v/>
      </c>
      <c r="C210" s="17"/>
      <c r="D210" s="6"/>
      <c r="E210" s="7" t="str">
        <f>IF($G210="","",INDEX('EDS Lookup'!$F$6:$F$2819,$G210))</f>
        <v/>
      </c>
      <c r="F210" s="8" t="str">
        <f>IF($G210="","",INDEX('EDS Lookup'!$G$6:$G$2819,$G210))</f>
        <v/>
      </c>
      <c r="G210" t="str">
        <f>IF(187&lt;=$B$4,IFERROR(MATCH(187,'EDS Lookup'!$H$6:$H$2819,0),""),"")</f>
        <v/>
      </c>
      <c r="H210" t="str">
        <f t="shared" si="2"/>
        <v/>
      </c>
    </row>
    <row r="211" spans="1:8" ht="19.95" customHeight="1">
      <c r="A211" s="5" t="str">
        <f>IF($G211="","",INDEX('EDS Lookup'!$D$6:$D$2819,$G211))</f>
        <v/>
      </c>
      <c r="B211" s="5" t="str">
        <f>IF($G211="","",INDEX('EDS Lookup'!$B$6:$B$2819,$G211))</f>
        <v/>
      </c>
      <c r="C211" s="17"/>
      <c r="D211" s="6"/>
      <c r="E211" s="7" t="str">
        <f>IF($G211="","",INDEX('EDS Lookup'!$F$6:$F$2819,$G211))</f>
        <v/>
      </c>
      <c r="F211" s="8" t="str">
        <f>IF($G211="","",INDEX('EDS Lookup'!$G$6:$G$2819,$G211))</f>
        <v/>
      </c>
      <c r="G211" t="str">
        <f>IF(188&lt;=$B$4,IFERROR(MATCH(188,'EDS Lookup'!$H$6:$H$2819,0),""),"")</f>
        <v/>
      </c>
      <c r="H211" t="str">
        <f t="shared" si="2"/>
        <v/>
      </c>
    </row>
    <row r="212" spans="1:8" ht="19.95" customHeight="1">
      <c r="A212" s="5" t="str">
        <f>IF($G212="","",INDEX('EDS Lookup'!$D$6:$D$2819,$G212))</f>
        <v/>
      </c>
      <c r="B212" s="5" t="str">
        <f>IF($G212="","",INDEX('EDS Lookup'!$B$6:$B$2819,$G212))</f>
        <v/>
      </c>
      <c r="C212" s="17"/>
      <c r="D212" s="6"/>
      <c r="E212" s="7" t="str">
        <f>IF($G212="","",INDEX('EDS Lookup'!$F$6:$F$2819,$G212))</f>
        <v/>
      </c>
      <c r="F212" s="8" t="str">
        <f>IF($G212="","",INDEX('EDS Lookup'!$G$6:$G$2819,$G212))</f>
        <v/>
      </c>
      <c r="G212" t="str">
        <f>IF(189&lt;=$B$4,IFERROR(MATCH(189,'EDS Lookup'!$H$6:$H$2819,0),""),"")</f>
        <v/>
      </c>
      <c r="H212" t="str">
        <f t="shared" si="2"/>
        <v/>
      </c>
    </row>
    <row r="213" spans="1:8" ht="19.95" customHeight="1">
      <c r="A213" s="5" t="str">
        <f>IF($G213="","",INDEX('EDS Lookup'!$D$6:$D$2819,$G213))</f>
        <v/>
      </c>
      <c r="B213" s="5" t="str">
        <f>IF($G213="","",INDEX('EDS Lookup'!$B$6:$B$2819,$G213))</f>
        <v/>
      </c>
      <c r="C213" s="17"/>
      <c r="D213" s="6"/>
      <c r="E213" s="7" t="str">
        <f>IF($G213="","",INDEX('EDS Lookup'!$F$6:$F$2819,$G213))</f>
        <v/>
      </c>
      <c r="F213" s="8" t="str">
        <f>IF($G213="","",INDEX('EDS Lookup'!$G$6:$G$2819,$G213))</f>
        <v/>
      </c>
      <c r="G213" t="str">
        <f>IF(190&lt;=$B$4,IFERROR(MATCH(190,'EDS Lookup'!$H$6:$H$2819,0),""),"")</f>
        <v/>
      </c>
      <c r="H213" t="str">
        <f t="shared" si="2"/>
        <v/>
      </c>
    </row>
    <row r="214" spans="1:8" ht="19.95" customHeight="1">
      <c r="A214" s="5" t="str">
        <f>IF($G214="","",INDEX('EDS Lookup'!$D$6:$D$2819,$G214))</f>
        <v/>
      </c>
      <c r="B214" s="5" t="str">
        <f>IF($G214="","",INDEX('EDS Lookup'!$B$6:$B$2819,$G214))</f>
        <v/>
      </c>
      <c r="C214" s="17"/>
      <c r="D214" s="6"/>
      <c r="E214" s="7" t="str">
        <f>IF($G214="","",INDEX('EDS Lookup'!$F$6:$F$2819,$G214))</f>
        <v/>
      </c>
      <c r="F214" s="8" t="str">
        <f>IF($G214="","",INDEX('EDS Lookup'!$G$6:$G$2819,$G214))</f>
        <v/>
      </c>
      <c r="G214" t="str">
        <f>IF(191&lt;=$B$4,IFERROR(MATCH(191,'EDS Lookup'!$H$6:$H$2819,0),""),"")</f>
        <v/>
      </c>
      <c r="H214" t="str">
        <f t="shared" si="2"/>
        <v/>
      </c>
    </row>
    <row r="215" spans="1:8" ht="19.95" customHeight="1">
      <c r="A215" s="5" t="str">
        <f>IF($G215="","",INDEX('EDS Lookup'!$D$6:$D$2819,$G215))</f>
        <v/>
      </c>
      <c r="B215" s="5" t="str">
        <f>IF($G215="","",INDEX('EDS Lookup'!$B$6:$B$2819,$G215))</f>
        <v/>
      </c>
      <c r="C215" s="17"/>
      <c r="D215" s="6"/>
      <c r="E215" s="7" t="str">
        <f>IF($G215="","",INDEX('EDS Lookup'!$F$6:$F$2819,$G215))</f>
        <v/>
      </c>
      <c r="F215" s="8" t="str">
        <f>IF($G215="","",INDEX('EDS Lookup'!$G$6:$G$2819,$G215))</f>
        <v/>
      </c>
      <c r="G215" t="str">
        <f>IF(192&lt;=$B$4,IFERROR(MATCH(192,'EDS Lookup'!$H$6:$H$2819,0),""),"")</f>
        <v/>
      </c>
      <c r="H215" t="str">
        <f t="shared" si="2"/>
        <v/>
      </c>
    </row>
    <row r="216" spans="1:8" ht="19.95" customHeight="1">
      <c r="A216" s="5" t="str">
        <f>IF($G216="","",INDEX('EDS Lookup'!$D$6:$D$2819,$G216))</f>
        <v/>
      </c>
      <c r="B216" s="5" t="str">
        <f>IF($G216="","",INDEX('EDS Lookup'!$B$6:$B$2819,$G216))</f>
        <v/>
      </c>
      <c r="C216" s="17"/>
      <c r="D216" s="6"/>
      <c r="E216" s="7" t="str">
        <f>IF($G216="","",INDEX('EDS Lookup'!$F$6:$F$2819,$G216))</f>
        <v/>
      </c>
      <c r="F216" s="8" t="str">
        <f>IF($G216="","",INDEX('EDS Lookup'!$G$6:$G$2819,$G216))</f>
        <v/>
      </c>
      <c r="G216" t="str">
        <f>IF(193&lt;=$B$4,IFERROR(MATCH(193,'EDS Lookup'!$H$6:$H$2819,0),""),"")</f>
        <v/>
      </c>
      <c r="H216" t="str">
        <f t="shared" ref="H216:H279" si="3">IF(F216="&lt;5",5,IF(F216="&gt;95",95,IF(ISNUMBER(F216),F216,"")))</f>
        <v/>
      </c>
    </row>
    <row r="217" spans="1:8" ht="19.95" customHeight="1">
      <c r="A217" s="5" t="str">
        <f>IF($G217="","",INDEX('EDS Lookup'!$D$6:$D$2819,$G217))</f>
        <v/>
      </c>
      <c r="B217" s="5" t="str">
        <f>IF($G217="","",INDEX('EDS Lookup'!$B$6:$B$2819,$G217))</f>
        <v/>
      </c>
      <c r="C217" s="17"/>
      <c r="D217" s="6"/>
      <c r="E217" s="7" t="str">
        <f>IF($G217="","",INDEX('EDS Lookup'!$F$6:$F$2819,$G217))</f>
        <v/>
      </c>
      <c r="F217" s="8" t="str">
        <f>IF($G217="","",INDEX('EDS Lookup'!$G$6:$G$2819,$G217))</f>
        <v/>
      </c>
      <c r="G217" t="str">
        <f>IF(194&lt;=$B$4,IFERROR(MATCH(194,'EDS Lookup'!$H$6:$H$2819,0),""),"")</f>
        <v/>
      </c>
      <c r="H217" t="str">
        <f t="shared" si="3"/>
        <v/>
      </c>
    </row>
    <row r="218" spans="1:8" ht="19.95" customHeight="1">
      <c r="A218" s="5" t="str">
        <f>IF($G218="","",INDEX('EDS Lookup'!$D$6:$D$2819,$G218))</f>
        <v/>
      </c>
      <c r="B218" s="5" t="str">
        <f>IF($G218="","",INDEX('EDS Lookup'!$B$6:$B$2819,$G218))</f>
        <v/>
      </c>
      <c r="C218" s="17"/>
      <c r="D218" s="6"/>
      <c r="E218" s="7" t="str">
        <f>IF($G218="","",INDEX('EDS Lookup'!$F$6:$F$2819,$G218))</f>
        <v/>
      </c>
      <c r="F218" s="8" t="str">
        <f>IF($G218="","",INDEX('EDS Lookup'!$G$6:$G$2819,$G218))</f>
        <v/>
      </c>
      <c r="G218" t="str">
        <f>IF(195&lt;=$B$4,IFERROR(MATCH(195,'EDS Lookup'!$H$6:$H$2819,0),""),"")</f>
        <v/>
      </c>
      <c r="H218" t="str">
        <f t="shared" si="3"/>
        <v/>
      </c>
    </row>
    <row r="219" spans="1:8" ht="19.95" customHeight="1">
      <c r="A219" s="5" t="str">
        <f>IF($G219="","",INDEX('EDS Lookup'!$D$6:$D$2819,$G219))</f>
        <v/>
      </c>
      <c r="B219" s="5" t="str">
        <f>IF($G219="","",INDEX('EDS Lookup'!$B$6:$B$2819,$G219))</f>
        <v/>
      </c>
      <c r="C219" s="17"/>
      <c r="D219" s="6"/>
      <c r="E219" s="7" t="str">
        <f>IF($G219="","",INDEX('EDS Lookup'!$F$6:$F$2819,$G219))</f>
        <v/>
      </c>
      <c r="F219" s="8" t="str">
        <f>IF($G219="","",INDEX('EDS Lookup'!$G$6:$G$2819,$G219))</f>
        <v/>
      </c>
      <c r="G219" t="str">
        <f>IF(196&lt;=$B$4,IFERROR(MATCH(196,'EDS Lookup'!$H$6:$H$2819,0),""),"")</f>
        <v/>
      </c>
      <c r="H219" t="str">
        <f t="shared" si="3"/>
        <v/>
      </c>
    </row>
    <row r="220" spans="1:8" ht="19.95" customHeight="1">
      <c r="A220" s="5" t="str">
        <f>IF($G220="","",INDEX('EDS Lookup'!$D$6:$D$2819,$G220))</f>
        <v/>
      </c>
      <c r="B220" s="5" t="str">
        <f>IF($G220="","",INDEX('EDS Lookup'!$B$6:$B$2819,$G220))</f>
        <v/>
      </c>
      <c r="C220" s="17"/>
      <c r="D220" s="6"/>
      <c r="E220" s="7" t="str">
        <f>IF($G220="","",INDEX('EDS Lookup'!$F$6:$F$2819,$G220))</f>
        <v/>
      </c>
      <c r="F220" s="8" t="str">
        <f>IF($G220="","",INDEX('EDS Lookup'!$G$6:$G$2819,$G220))</f>
        <v/>
      </c>
      <c r="G220" t="str">
        <f>IF(197&lt;=$B$4,IFERROR(MATCH(197,'EDS Lookup'!$H$6:$H$2819,0),""),"")</f>
        <v/>
      </c>
      <c r="H220" t="str">
        <f t="shared" si="3"/>
        <v/>
      </c>
    </row>
    <row r="221" spans="1:8" ht="19.95" customHeight="1">
      <c r="A221" s="5" t="str">
        <f>IF($G221="","",INDEX('EDS Lookup'!$D$6:$D$2819,$G221))</f>
        <v/>
      </c>
      <c r="B221" s="5" t="str">
        <f>IF($G221="","",INDEX('EDS Lookup'!$B$6:$B$2819,$G221))</f>
        <v/>
      </c>
      <c r="C221" s="17"/>
      <c r="D221" s="6"/>
      <c r="E221" s="7" t="str">
        <f>IF($G221="","",INDEX('EDS Lookup'!$F$6:$F$2819,$G221))</f>
        <v/>
      </c>
      <c r="F221" s="8" t="str">
        <f>IF($G221="","",INDEX('EDS Lookup'!$G$6:$G$2819,$G221))</f>
        <v/>
      </c>
      <c r="G221" t="str">
        <f>IF(198&lt;=$B$4,IFERROR(MATCH(198,'EDS Lookup'!$H$6:$H$2819,0),""),"")</f>
        <v/>
      </c>
      <c r="H221" t="str">
        <f t="shared" si="3"/>
        <v/>
      </c>
    </row>
    <row r="222" spans="1:8" ht="19.95" customHeight="1">
      <c r="A222" s="5" t="str">
        <f>IF($G222="","",INDEX('EDS Lookup'!$D$6:$D$2819,$G222))</f>
        <v/>
      </c>
      <c r="B222" s="5" t="str">
        <f>IF($G222="","",INDEX('EDS Lookup'!$B$6:$B$2819,$G222))</f>
        <v/>
      </c>
      <c r="C222" s="17"/>
      <c r="D222" s="6"/>
      <c r="E222" s="7" t="str">
        <f>IF($G222="","",INDEX('EDS Lookup'!$F$6:$F$2819,$G222))</f>
        <v/>
      </c>
      <c r="F222" s="8" t="str">
        <f>IF($G222="","",INDEX('EDS Lookup'!$G$6:$G$2819,$G222))</f>
        <v/>
      </c>
      <c r="G222" t="str">
        <f>IF(199&lt;=$B$4,IFERROR(MATCH(199,'EDS Lookup'!$H$6:$H$2819,0),""),"")</f>
        <v/>
      </c>
      <c r="H222" t="str">
        <f t="shared" si="3"/>
        <v/>
      </c>
    </row>
    <row r="223" spans="1:8" ht="19.95" customHeight="1">
      <c r="A223" s="5" t="str">
        <f>IF($G223="","",INDEX('EDS Lookup'!$D$6:$D$2819,$G223))</f>
        <v/>
      </c>
      <c r="B223" s="5" t="str">
        <f>IF($G223="","",INDEX('EDS Lookup'!$B$6:$B$2819,$G223))</f>
        <v/>
      </c>
      <c r="C223" s="17"/>
      <c r="D223" s="6"/>
      <c r="E223" s="7" t="str">
        <f>IF($G223="","",INDEX('EDS Lookup'!$F$6:$F$2819,$G223))</f>
        <v/>
      </c>
      <c r="F223" s="8" t="str">
        <f>IF($G223="","",INDEX('EDS Lookup'!$G$6:$G$2819,$G223))</f>
        <v/>
      </c>
      <c r="G223" t="str">
        <f>IF(200&lt;=$B$4,IFERROR(MATCH(200,'EDS Lookup'!$H$6:$H$2819,0),""),"")</f>
        <v/>
      </c>
      <c r="H223" t="str">
        <f t="shared" si="3"/>
        <v/>
      </c>
    </row>
    <row r="224" spans="1:8" ht="19.95" customHeight="1">
      <c r="A224" s="5" t="str">
        <f>IF($G224="","",INDEX('EDS Lookup'!$D$6:$D$2819,$G224))</f>
        <v/>
      </c>
      <c r="B224" s="5" t="str">
        <f>IF($G224="","",INDEX('EDS Lookup'!$B$6:$B$2819,$G224))</f>
        <v/>
      </c>
      <c r="C224" s="17"/>
      <c r="D224" s="6"/>
      <c r="E224" s="7" t="str">
        <f>IF($G224="","",INDEX('EDS Lookup'!$F$6:$F$2819,$G224))</f>
        <v/>
      </c>
      <c r="F224" s="8" t="str">
        <f>IF($G224="","",INDEX('EDS Lookup'!$G$6:$G$2819,$G224))</f>
        <v/>
      </c>
      <c r="G224" t="str">
        <f>IF(201&lt;=$B$4,IFERROR(MATCH(201,'EDS Lookup'!$H$6:$H$2819,0),""),"")</f>
        <v/>
      </c>
      <c r="H224" t="str">
        <f t="shared" si="3"/>
        <v/>
      </c>
    </row>
    <row r="225" spans="1:8" ht="19.95" customHeight="1">
      <c r="A225" s="5" t="str">
        <f>IF($G225="","",INDEX('EDS Lookup'!$D$6:$D$2819,$G225))</f>
        <v/>
      </c>
      <c r="B225" s="5" t="str">
        <f>IF($G225="","",INDEX('EDS Lookup'!$B$6:$B$2819,$G225))</f>
        <v/>
      </c>
      <c r="C225" s="17"/>
      <c r="D225" s="6"/>
      <c r="E225" s="7" t="str">
        <f>IF($G225="","",INDEX('EDS Lookup'!$F$6:$F$2819,$G225))</f>
        <v/>
      </c>
      <c r="F225" s="8" t="str">
        <f>IF($G225="","",INDEX('EDS Lookup'!$G$6:$G$2819,$G225))</f>
        <v/>
      </c>
      <c r="G225" t="str">
        <f>IF(202&lt;=$B$4,IFERROR(MATCH(202,'EDS Lookup'!$H$6:$H$2819,0),""),"")</f>
        <v/>
      </c>
      <c r="H225" t="str">
        <f t="shared" si="3"/>
        <v/>
      </c>
    </row>
    <row r="226" spans="1:8" ht="19.95" customHeight="1">
      <c r="A226" s="5" t="str">
        <f>IF($G226="","",INDEX('EDS Lookup'!$D$6:$D$2819,$G226))</f>
        <v/>
      </c>
      <c r="B226" s="5" t="str">
        <f>IF($G226="","",INDEX('EDS Lookup'!$B$6:$B$2819,$G226))</f>
        <v/>
      </c>
      <c r="C226" s="17"/>
      <c r="D226" s="6"/>
      <c r="E226" s="7" t="str">
        <f>IF($G226="","",INDEX('EDS Lookup'!$F$6:$F$2819,$G226))</f>
        <v/>
      </c>
      <c r="F226" s="8" t="str">
        <f>IF($G226="","",INDEX('EDS Lookup'!$G$6:$G$2819,$G226))</f>
        <v/>
      </c>
      <c r="G226" t="str">
        <f>IF(203&lt;=$B$4,IFERROR(MATCH(203,'EDS Lookup'!$H$6:$H$2819,0),""),"")</f>
        <v/>
      </c>
      <c r="H226" t="str">
        <f t="shared" si="3"/>
        <v/>
      </c>
    </row>
    <row r="227" spans="1:8" ht="19.95" customHeight="1">
      <c r="A227" s="5" t="str">
        <f>IF($G227="","",INDEX('EDS Lookup'!$D$6:$D$2819,$G227))</f>
        <v/>
      </c>
      <c r="B227" s="5" t="str">
        <f>IF($G227="","",INDEX('EDS Lookup'!$B$6:$B$2819,$G227))</f>
        <v/>
      </c>
      <c r="C227" s="17"/>
      <c r="D227" s="6"/>
      <c r="E227" s="7" t="str">
        <f>IF($G227="","",INDEX('EDS Lookup'!$F$6:$F$2819,$G227))</f>
        <v/>
      </c>
      <c r="F227" s="8" t="str">
        <f>IF($G227="","",INDEX('EDS Lookup'!$G$6:$G$2819,$G227))</f>
        <v/>
      </c>
      <c r="G227" t="str">
        <f>IF(204&lt;=$B$4,IFERROR(MATCH(204,'EDS Lookup'!$H$6:$H$2819,0),""),"")</f>
        <v/>
      </c>
      <c r="H227" t="str">
        <f t="shared" si="3"/>
        <v/>
      </c>
    </row>
    <row r="228" spans="1:8" ht="19.95" customHeight="1">
      <c r="A228" s="5" t="str">
        <f>IF($G228="","",INDEX('EDS Lookup'!$D$6:$D$2819,$G228))</f>
        <v/>
      </c>
      <c r="B228" s="5" t="str">
        <f>IF($G228="","",INDEX('EDS Lookup'!$B$6:$B$2819,$G228))</f>
        <v/>
      </c>
      <c r="C228" s="17"/>
      <c r="D228" s="6"/>
      <c r="E228" s="7" t="str">
        <f>IF($G228="","",INDEX('EDS Lookup'!$F$6:$F$2819,$G228))</f>
        <v/>
      </c>
      <c r="F228" s="8" t="str">
        <f>IF($G228="","",INDEX('EDS Lookup'!$G$6:$G$2819,$G228))</f>
        <v/>
      </c>
      <c r="G228" t="str">
        <f>IF(205&lt;=$B$4,IFERROR(MATCH(205,'EDS Lookup'!$H$6:$H$2819,0),""),"")</f>
        <v/>
      </c>
      <c r="H228" t="str">
        <f t="shared" si="3"/>
        <v/>
      </c>
    </row>
    <row r="229" spans="1:8" ht="19.95" customHeight="1">
      <c r="A229" s="5" t="str">
        <f>IF($G229="","",INDEX('EDS Lookup'!$D$6:$D$2819,$G229))</f>
        <v/>
      </c>
      <c r="B229" s="5" t="str">
        <f>IF($G229="","",INDEX('EDS Lookup'!$B$6:$B$2819,$G229))</f>
        <v/>
      </c>
      <c r="C229" s="17"/>
      <c r="D229" s="6"/>
      <c r="E229" s="7" t="str">
        <f>IF($G229="","",INDEX('EDS Lookup'!$F$6:$F$2819,$G229))</f>
        <v/>
      </c>
      <c r="F229" s="8" t="str">
        <f>IF($G229="","",INDEX('EDS Lookup'!$G$6:$G$2819,$G229))</f>
        <v/>
      </c>
      <c r="G229" t="str">
        <f>IF(206&lt;=$B$4,IFERROR(MATCH(206,'EDS Lookup'!$H$6:$H$2819,0),""),"")</f>
        <v/>
      </c>
      <c r="H229" t="str">
        <f t="shared" si="3"/>
        <v/>
      </c>
    </row>
    <row r="230" spans="1:8" ht="19.95" customHeight="1">
      <c r="A230" s="5" t="str">
        <f>IF($G230="","",INDEX('EDS Lookup'!$D$6:$D$2819,$G230))</f>
        <v/>
      </c>
      <c r="B230" s="5" t="str">
        <f>IF($G230="","",INDEX('EDS Lookup'!$B$6:$B$2819,$G230))</f>
        <v/>
      </c>
      <c r="C230" s="17"/>
      <c r="D230" s="6"/>
      <c r="E230" s="7" t="str">
        <f>IF($G230="","",INDEX('EDS Lookup'!$F$6:$F$2819,$G230))</f>
        <v/>
      </c>
      <c r="F230" s="8" t="str">
        <f>IF($G230="","",INDEX('EDS Lookup'!$G$6:$G$2819,$G230))</f>
        <v/>
      </c>
      <c r="G230" t="str">
        <f>IF(207&lt;=$B$4,IFERROR(MATCH(207,'EDS Lookup'!$H$6:$H$2819,0),""),"")</f>
        <v/>
      </c>
      <c r="H230" t="str">
        <f t="shared" si="3"/>
        <v/>
      </c>
    </row>
    <row r="231" spans="1:8" ht="19.95" customHeight="1">
      <c r="A231" s="5" t="str">
        <f>IF($G231="","",INDEX('EDS Lookup'!$D$6:$D$2819,$G231))</f>
        <v/>
      </c>
      <c r="B231" s="5" t="str">
        <f>IF($G231="","",INDEX('EDS Lookup'!$B$6:$B$2819,$G231))</f>
        <v/>
      </c>
      <c r="C231" s="17"/>
      <c r="D231" s="6"/>
      <c r="E231" s="7" t="str">
        <f>IF($G231="","",INDEX('EDS Lookup'!$F$6:$F$2819,$G231))</f>
        <v/>
      </c>
      <c r="F231" s="8" t="str">
        <f>IF($G231="","",INDEX('EDS Lookup'!$G$6:$G$2819,$G231))</f>
        <v/>
      </c>
      <c r="G231" t="str">
        <f>IF(208&lt;=$B$4,IFERROR(MATCH(208,'EDS Lookup'!$H$6:$H$2819,0),""),"")</f>
        <v/>
      </c>
      <c r="H231" t="str">
        <f t="shared" si="3"/>
        <v/>
      </c>
    </row>
    <row r="232" spans="1:8" ht="19.95" customHeight="1">
      <c r="A232" s="5" t="str">
        <f>IF($G232="","",INDEX('EDS Lookup'!$D$6:$D$2819,$G232))</f>
        <v/>
      </c>
      <c r="B232" s="5" t="str">
        <f>IF($G232="","",INDEX('EDS Lookup'!$B$6:$B$2819,$G232))</f>
        <v/>
      </c>
      <c r="C232" s="17"/>
      <c r="D232" s="6"/>
      <c r="E232" s="7" t="str">
        <f>IF($G232="","",INDEX('EDS Lookup'!$F$6:$F$2819,$G232))</f>
        <v/>
      </c>
      <c r="F232" s="8" t="str">
        <f>IF($G232="","",INDEX('EDS Lookup'!$G$6:$G$2819,$G232))</f>
        <v/>
      </c>
      <c r="G232" t="str">
        <f>IF(209&lt;=$B$4,IFERROR(MATCH(209,'EDS Lookup'!$H$6:$H$2819,0),""),"")</f>
        <v/>
      </c>
      <c r="H232" t="str">
        <f t="shared" si="3"/>
        <v/>
      </c>
    </row>
    <row r="233" spans="1:8" ht="19.95" customHeight="1">
      <c r="A233" s="5" t="str">
        <f>IF($G233="","",INDEX('EDS Lookup'!$D$6:$D$2819,$G233))</f>
        <v/>
      </c>
      <c r="B233" s="5" t="str">
        <f>IF($G233="","",INDEX('EDS Lookup'!$B$6:$B$2819,$G233))</f>
        <v/>
      </c>
      <c r="C233" s="17"/>
      <c r="D233" s="6"/>
      <c r="E233" s="7" t="str">
        <f>IF($G233="","",INDEX('EDS Lookup'!$F$6:$F$2819,$G233))</f>
        <v/>
      </c>
      <c r="F233" s="8" t="str">
        <f>IF($G233="","",INDEX('EDS Lookup'!$G$6:$G$2819,$G233))</f>
        <v/>
      </c>
      <c r="G233" t="str">
        <f>IF(210&lt;=$B$4,IFERROR(MATCH(210,'EDS Lookup'!$H$6:$H$2819,0),""),"")</f>
        <v/>
      </c>
      <c r="H233" t="str">
        <f t="shared" si="3"/>
        <v/>
      </c>
    </row>
    <row r="234" spans="1:8" ht="19.95" customHeight="1">
      <c r="A234" s="5" t="str">
        <f>IF($G234="","",INDEX('EDS Lookup'!$D$6:$D$2819,$G234))</f>
        <v/>
      </c>
      <c r="B234" s="5" t="str">
        <f>IF($G234="","",INDEX('EDS Lookup'!$B$6:$B$2819,$G234))</f>
        <v/>
      </c>
      <c r="C234" s="17"/>
      <c r="D234" s="6"/>
      <c r="E234" s="7" t="str">
        <f>IF($G234="","",INDEX('EDS Lookup'!$F$6:$F$2819,$G234))</f>
        <v/>
      </c>
      <c r="F234" s="8" t="str">
        <f>IF($G234="","",INDEX('EDS Lookup'!$G$6:$G$2819,$G234))</f>
        <v/>
      </c>
      <c r="G234" t="str">
        <f>IF(211&lt;=$B$4,IFERROR(MATCH(211,'EDS Lookup'!$H$6:$H$2819,0),""),"")</f>
        <v/>
      </c>
      <c r="H234" t="str">
        <f t="shared" si="3"/>
        <v/>
      </c>
    </row>
    <row r="235" spans="1:8" ht="19.95" customHeight="1">
      <c r="A235" s="5" t="str">
        <f>IF($G235="","",INDEX('EDS Lookup'!$D$6:$D$2819,$G235))</f>
        <v/>
      </c>
      <c r="B235" s="5" t="str">
        <f>IF($G235="","",INDEX('EDS Lookup'!$B$6:$B$2819,$G235))</f>
        <v/>
      </c>
      <c r="C235" s="17"/>
      <c r="D235" s="6"/>
      <c r="E235" s="7" t="str">
        <f>IF($G235="","",INDEX('EDS Lookup'!$F$6:$F$2819,$G235))</f>
        <v/>
      </c>
      <c r="F235" s="8" t="str">
        <f>IF($G235="","",INDEX('EDS Lookup'!$G$6:$G$2819,$G235))</f>
        <v/>
      </c>
      <c r="G235" t="str">
        <f>IF(212&lt;=$B$4,IFERROR(MATCH(212,'EDS Lookup'!$H$6:$H$2819,0),""),"")</f>
        <v/>
      </c>
      <c r="H235" t="str">
        <f t="shared" si="3"/>
        <v/>
      </c>
    </row>
    <row r="236" spans="1:8" ht="19.95" customHeight="1">
      <c r="A236" s="5" t="str">
        <f>IF($G236="","",INDEX('EDS Lookup'!$D$6:$D$2819,$G236))</f>
        <v/>
      </c>
      <c r="B236" s="5" t="str">
        <f>IF($G236="","",INDEX('EDS Lookup'!$B$6:$B$2819,$G236))</f>
        <v/>
      </c>
      <c r="C236" s="17"/>
      <c r="D236" s="6"/>
      <c r="E236" s="7" t="str">
        <f>IF($G236="","",INDEX('EDS Lookup'!$F$6:$F$2819,$G236))</f>
        <v/>
      </c>
      <c r="F236" s="8" t="str">
        <f>IF($G236="","",INDEX('EDS Lookup'!$G$6:$G$2819,$G236))</f>
        <v/>
      </c>
      <c r="G236" t="str">
        <f>IF(213&lt;=$B$4,IFERROR(MATCH(213,'EDS Lookup'!$H$6:$H$2819,0),""),"")</f>
        <v/>
      </c>
      <c r="H236" t="str">
        <f t="shared" si="3"/>
        <v/>
      </c>
    </row>
    <row r="237" spans="1:8" ht="19.95" customHeight="1">
      <c r="A237" s="5" t="str">
        <f>IF($G237="","",INDEX('EDS Lookup'!$D$6:$D$2819,$G237))</f>
        <v/>
      </c>
      <c r="B237" s="5" t="str">
        <f>IF($G237="","",INDEX('EDS Lookup'!$B$6:$B$2819,$G237))</f>
        <v/>
      </c>
      <c r="C237" s="17"/>
      <c r="D237" s="6"/>
      <c r="E237" s="7" t="str">
        <f>IF($G237="","",INDEX('EDS Lookup'!$F$6:$F$2819,$G237))</f>
        <v/>
      </c>
      <c r="F237" s="8" t="str">
        <f>IF($G237="","",INDEX('EDS Lookup'!$G$6:$G$2819,$G237))</f>
        <v/>
      </c>
      <c r="G237" t="str">
        <f>IF(214&lt;=$B$4,IFERROR(MATCH(214,'EDS Lookup'!$H$6:$H$2819,0),""),"")</f>
        <v/>
      </c>
      <c r="H237" t="str">
        <f t="shared" si="3"/>
        <v/>
      </c>
    </row>
    <row r="238" spans="1:8" ht="19.95" customHeight="1">
      <c r="A238" s="5" t="str">
        <f>IF($G238="","",INDEX('EDS Lookup'!$D$6:$D$2819,$G238))</f>
        <v/>
      </c>
      <c r="B238" s="5" t="str">
        <f>IF($G238="","",INDEX('EDS Lookup'!$B$6:$B$2819,$G238))</f>
        <v/>
      </c>
      <c r="C238" s="17"/>
      <c r="D238" s="6"/>
      <c r="E238" s="7" t="str">
        <f>IF($G238="","",INDEX('EDS Lookup'!$F$6:$F$2819,$G238))</f>
        <v/>
      </c>
      <c r="F238" s="8" t="str">
        <f>IF($G238="","",INDEX('EDS Lookup'!$G$6:$G$2819,$G238))</f>
        <v/>
      </c>
      <c r="G238" t="str">
        <f>IF(215&lt;=$B$4,IFERROR(MATCH(215,'EDS Lookup'!$H$6:$H$2819,0),""),"")</f>
        <v/>
      </c>
      <c r="H238" t="str">
        <f t="shared" si="3"/>
        <v/>
      </c>
    </row>
    <row r="239" spans="1:8" ht="19.95" customHeight="1">
      <c r="A239" s="5" t="str">
        <f>IF($G239="","",INDEX('EDS Lookup'!$D$6:$D$2819,$G239))</f>
        <v/>
      </c>
      <c r="B239" s="5" t="str">
        <f>IF($G239="","",INDEX('EDS Lookup'!$B$6:$B$2819,$G239))</f>
        <v/>
      </c>
      <c r="C239" s="17"/>
      <c r="D239" s="6"/>
      <c r="E239" s="7" t="str">
        <f>IF($G239="","",INDEX('EDS Lookup'!$F$6:$F$2819,$G239))</f>
        <v/>
      </c>
      <c r="F239" s="8" t="str">
        <f>IF($G239="","",INDEX('EDS Lookup'!$G$6:$G$2819,$G239))</f>
        <v/>
      </c>
      <c r="G239" t="str">
        <f>IF(216&lt;=$B$4,IFERROR(MATCH(216,'EDS Lookup'!$H$6:$H$2819,0),""),"")</f>
        <v/>
      </c>
      <c r="H239" t="str">
        <f t="shared" si="3"/>
        <v/>
      </c>
    </row>
    <row r="240" spans="1:8" ht="19.95" customHeight="1">
      <c r="A240" s="5" t="str">
        <f>IF($G240="","",INDEX('EDS Lookup'!$D$6:$D$2819,$G240))</f>
        <v/>
      </c>
      <c r="B240" s="5" t="str">
        <f>IF($G240="","",INDEX('EDS Lookup'!$B$6:$B$2819,$G240))</f>
        <v/>
      </c>
      <c r="C240" s="17"/>
      <c r="D240" s="6"/>
      <c r="E240" s="7" t="str">
        <f>IF($G240="","",INDEX('EDS Lookup'!$F$6:$F$2819,$G240))</f>
        <v/>
      </c>
      <c r="F240" s="8" t="str">
        <f>IF($G240="","",INDEX('EDS Lookup'!$G$6:$G$2819,$G240))</f>
        <v/>
      </c>
      <c r="G240" t="str">
        <f>IF(217&lt;=$B$4,IFERROR(MATCH(217,'EDS Lookup'!$H$6:$H$2819,0),""),"")</f>
        <v/>
      </c>
      <c r="H240" t="str">
        <f t="shared" si="3"/>
        <v/>
      </c>
    </row>
    <row r="241" spans="1:8" ht="19.95" customHeight="1">
      <c r="A241" s="5" t="str">
        <f>IF($G241="","",INDEX('EDS Lookup'!$D$6:$D$2819,$G241))</f>
        <v/>
      </c>
      <c r="B241" s="5" t="str">
        <f>IF($G241="","",INDEX('EDS Lookup'!$B$6:$B$2819,$G241))</f>
        <v/>
      </c>
      <c r="C241" s="17"/>
      <c r="D241" s="6"/>
      <c r="E241" s="7" t="str">
        <f>IF($G241="","",INDEX('EDS Lookup'!$F$6:$F$2819,$G241))</f>
        <v/>
      </c>
      <c r="F241" s="8" t="str">
        <f>IF($G241="","",INDEX('EDS Lookup'!$G$6:$G$2819,$G241))</f>
        <v/>
      </c>
      <c r="G241" t="str">
        <f>IF(218&lt;=$B$4,IFERROR(MATCH(218,'EDS Lookup'!$H$6:$H$2819,0),""),"")</f>
        <v/>
      </c>
      <c r="H241" t="str">
        <f t="shared" si="3"/>
        <v/>
      </c>
    </row>
    <row r="242" spans="1:8" ht="19.95" customHeight="1">
      <c r="A242" s="5" t="str">
        <f>IF($G242="","",INDEX('EDS Lookup'!$D$6:$D$2819,$G242))</f>
        <v/>
      </c>
      <c r="B242" s="5" t="str">
        <f>IF($G242="","",INDEX('EDS Lookup'!$B$6:$B$2819,$G242))</f>
        <v/>
      </c>
      <c r="C242" s="17"/>
      <c r="D242" s="6"/>
      <c r="E242" s="7" t="str">
        <f>IF($G242="","",INDEX('EDS Lookup'!$F$6:$F$2819,$G242))</f>
        <v/>
      </c>
      <c r="F242" s="8" t="str">
        <f>IF($G242="","",INDEX('EDS Lookup'!$G$6:$G$2819,$G242))</f>
        <v/>
      </c>
      <c r="G242" t="str">
        <f>IF(219&lt;=$B$4,IFERROR(MATCH(219,'EDS Lookup'!$H$6:$H$2819,0),""),"")</f>
        <v/>
      </c>
      <c r="H242" t="str">
        <f t="shared" si="3"/>
        <v/>
      </c>
    </row>
    <row r="243" spans="1:8" ht="19.95" customHeight="1">
      <c r="A243" s="5" t="str">
        <f>IF($G243="","",INDEX('EDS Lookup'!$D$6:$D$2819,$G243))</f>
        <v/>
      </c>
      <c r="B243" s="5" t="str">
        <f>IF($G243="","",INDEX('EDS Lookup'!$B$6:$B$2819,$G243))</f>
        <v/>
      </c>
      <c r="C243" s="17"/>
      <c r="D243" s="6"/>
      <c r="E243" s="7" t="str">
        <f>IF($G243="","",INDEX('EDS Lookup'!$F$6:$F$2819,$G243))</f>
        <v/>
      </c>
      <c r="F243" s="8" t="str">
        <f>IF($G243="","",INDEX('EDS Lookup'!$G$6:$G$2819,$G243))</f>
        <v/>
      </c>
      <c r="G243" t="str">
        <f>IF(220&lt;=$B$4,IFERROR(MATCH(220,'EDS Lookup'!$H$6:$H$2819,0),""),"")</f>
        <v/>
      </c>
      <c r="H243" t="str">
        <f t="shared" si="3"/>
        <v/>
      </c>
    </row>
    <row r="244" spans="1:8" ht="19.95" customHeight="1">
      <c r="A244" s="5" t="str">
        <f>IF($G244="","",INDEX('EDS Lookup'!$D$6:$D$2819,$G244))</f>
        <v/>
      </c>
      <c r="B244" s="5" t="str">
        <f>IF($G244="","",INDEX('EDS Lookup'!$B$6:$B$2819,$G244))</f>
        <v/>
      </c>
      <c r="C244" s="17"/>
      <c r="D244" s="6"/>
      <c r="E244" s="7" t="str">
        <f>IF($G244="","",INDEX('EDS Lookup'!$F$6:$F$2819,$G244))</f>
        <v/>
      </c>
      <c r="F244" s="8" t="str">
        <f>IF($G244="","",INDEX('EDS Lookup'!$G$6:$G$2819,$G244))</f>
        <v/>
      </c>
      <c r="G244" t="str">
        <f>IF(221&lt;=$B$4,IFERROR(MATCH(221,'EDS Lookup'!$H$6:$H$2819,0),""),"")</f>
        <v/>
      </c>
      <c r="H244" t="str">
        <f t="shared" si="3"/>
        <v/>
      </c>
    </row>
    <row r="245" spans="1:8" ht="19.95" customHeight="1">
      <c r="A245" s="5" t="str">
        <f>IF($G245="","",INDEX('EDS Lookup'!$D$6:$D$2819,$G245))</f>
        <v/>
      </c>
      <c r="B245" s="5" t="str">
        <f>IF($G245="","",INDEX('EDS Lookup'!$B$6:$B$2819,$G245))</f>
        <v/>
      </c>
      <c r="C245" s="17"/>
      <c r="D245" s="6"/>
      <c r="E245" s="7" t="str">
        <f>IF($G245="","",INDEX('EDS Lookup'!$F$6:$F$2819,$G245))</f>
        <v/>
      </c>
      <c r="F245" s="8" t="str">
        <f>IF($G245="","",INDEX('EDS Lookup'!$G$6:$G$2819,$G245))</f>
        <v/>
      </c>
      <c r="G245" t="str">
        <f>IF(222&lt;=$B$4,IFERROR(MATCH(222,'EDS Lookup'!$H$6:$H$2819,0),""),"")</f>
        <v/>
      </c>
      <c r="H245" t="str">
        <f t="shared" si="3"/>
        <v/>
      </c>
    </row>
    <row r="246" spans="1:8" ht="19.95" customHeight="1">
      <c r="A246" s="5" t="str">
        <f>IF($G246="","",INDEX('EDS Lookup'!$D$6:$D$2819,$G246))</f>
        <v/>
      </c>
      <c r="B246" s="5" t="str">
        <f>IF($G246="","",INDEX('EDS Lookup'!$B$6:$B$2819,$G246))</f>
        <v/>
      </c>
      <c r="C246" s="17"/>
      <c r="D246" s="6"/>
      <c r="E246" s="7" t="str">
        <f>IF($G246="","",INDEX('EDS Lookup'!$F$6:$F$2819,$G246))</f>
        <v/>
      </c>
      <c r="F246" s="8" t="str">
        <f>IF($G246="","",INDEX('EDS Lookup'!$G$6:$G$2819,$G246))</f>
        <v/>
      </c>
      <c r="G246" t="str">
        <f>IF(223&lt;=$B$4,IFERROR(MATCH(223,'EDS Lookup'!$H$6:$H$2819,0),""),"")</f>
        <v/>
      </c>
      <c r="H246" t="str">
        <f t="shared" si="3"/>
        <v/>
      </c>
    </row>
    <row r="247" spans="1:8" ht="19.95" customHeight="1">
      <c r="A247" s="5" t="str">
        <f>IF($G247="","",INDEX('EDS Lookup'!$D$6:$D$2819,$G247))</f>
        <v/>
      </c>
      <c r="B247" s="5" t="str">
        <f>IF($G247="","",INDEX('EDS Lookup'!$B$6:$B$2819,$G247))</f>
        <v/>
      </c>
      <c r="C247" s="17"/>
      <c r="D247" s="6"/>
      <c r="E247" s="7" t="str">
        <f>IF($G247="","",INDEX('EDS Lookup'!$F$6:$F$2819,$G247))</f>
        <v/>
      </c>
      <c r="F247" s="8" t="str">
        <f>IF($G247="","",INDEX('EDS Lookup'!$G$6:$G$2819,$G247))</f>
        <v/>
      </c>
      <c r="G247" t="str">
        <f>IF(224&lt;=$B$4,IFERROR(MATCH(224,'EDS Lookup'!$H$6:$H$2819,0),""),"")</f>
        <v/>
      </c>
      <c r="H247" t="str">
        <f t="shared" si="3"/>
        <v/>
      </c>
    </row>
    <row r="248" spans="1:8" ht="19.95" customHeight="1">
      <c r="A248" s="5" t="str">
        <f>IF($G248="","",INDEX('EDS Lookup'!$D$6:$D$2819,$G248))</f>
        <v/>
      </c>
      <c r="B248" s="5" t="str">
        <f>IF($G248="","",INDEX('EDS Lookup'!$B$6:$B$2819,$G248))</f>
        <v/>
      </c>
      <c r="C248" s="17"/>
      <c r="D248" s="6"/>
      <c r="E248" s="7" t="str">
        <f>IF($G248="","",INDEX('EDS Lookup'!$F$6:$F$2819,$G248))</f>
        <v/>
      </c>
      <c r="F248" s="8" t="str">
        <f>IF($G248="","",INDEX('EDS Lookup'!$G$6:$G$2819,$G248))</f>
        <v/>
      </c>
      <c r="G248" t="str">
        <f>IF(225&lt;=$B$4,IFERROR(MATCH(225,'EDS Lookup'!$H$6:$H$2819,0),""),"")</f>
        <v/>
      </c>
      <c r="H248" t="str">
        <f t="shared" si="3"/>
        <v/>
      </c>
    </row>
    <row r="249" spans="1:8" ht="19.95" customHeight="1">
      <c r="A249" s="5" t="str">
        <f>IF($G249="","",INDEX('EDS Lookup'!$D$6:$D$2819,$G249))</f>
        <v/>
      </c>
      <c r="B249" s="5" t="str">
        <f>IF($G249="","",INDEX('EDS Lookup'!$B$6:$B$2819,$G249))</f>
        <v/>
      </c>
      <c r="C249" s="17"/>
      <c r="D249" s="6"/>
      <c r="E249" s="7" t="str">
        <f>IF($G249="","",INDEX('EDS Lookup'!$F$6:$F$2819,$G249))</f>
        <v/>
      </c>
      <c r="F249" s="8" t="str">
        <f>IF($G249="","",INDEX('EDS Lookup'!$G$6:$G$2819,$G249))</f>
        <v/>
      </c>
      <c r="G249" t="str">
        <f>IF(226&lt;=$B$4,IFERROR(MATCH(226,'EDS Lookup'!$H$6:$H$2819,0),""),"")</f>
        <v/>
      </c>
      <c r="H249" t="str">
        <f t="shared" si="3"/>
        <v/>
      </c>
    </row>
    <row r="250" spans="1:8" ht="19.95" customHeight="1">
      <c r="A250" s="5" t="str">
        <f>IF($G250="","",INDEX('EDS Lookup'!$D$6:$D$2819,$G250))</f>
        <v/>
      </c>
      <c r="B250" s="5" t="str">
        <f>IF($G250="","",INDEX('EDS Lookup'!$B$6:$B$2819,$G250))</f>
        <v/>
      </c>
      <c r="C250" s="17"/>
      <c r="D250" s="6"/>
      <c r="E250" s="7" t="str">
        <f>IF($G250="","",INDEX('EDS Lookup'!$F$6:$F$2819,$G250))</f>
        <v/>
      </c>
      <c r="F250" s="8" t="str">
        <f>IF($G250="","",INDEX('EDS Lookup'!$G$6:$G$2819,$G250))</f>
        <v/>
      </c>
      <c r="G250" t="str">
        <f>IF(227&lt;=$B$4,IFERROR(MATCH(227,'EDS Lookup'!$H$6:$H$2819,0),""),"")</f>
        <v/>
      </c>
      <c r="H250" t="str">
        <f t="shared" si="3"/>
        <v/>
      </c>
    </row>
    <row r="251" spans="1:8" ht="19.95" customHeight="1">
      <c r="A251" s="5" t="str">
        <f>IF($G251="","",INDEX('EDS Lookup'!$D$6:$D$2819,$G251))</f>
        <v/>
      </c>
      <c r="B251" s="5" t="str">
        <f>IF($G251="","",INDEX('EDS Lookup'!$B$6:$B$2819,$G251))</f>
        <v/>
      </c>
      <c r="C251" s="17"/>
      <c r="D251" s="6"/>
      <c r="E251" s="7" t="str">
        <f>IF($G251="","",INDEX('EDS Lookup'!$F$6:$F$2819,$G251))</f>
        <v/>
      </c>
      <c r="F251" s="8" t="str">
        <f>IF($G251="","",INDEX('EDS Lookup'!$G$6:$G$2819,$G251))</f>
        <v/>
      </c>
      <c r="G251" t="str">
        <f>IF(228&lt;=$B$4,IFERROR(MATCH(228,'EDS Lookup'!$H$6:$H$2819,0),""),"")</f>
        <v/>
      </c>
      <c r="H251" t="str">
        <f t="shared" si="3"/>
        <v/>
      </c>
    </row>
    <row r="252" spans="1:8" ht="19.95" customHeight="1">
      <c r="A252" s="5" t="str">
        <f>IF($G252="","",INDEX('EDS Lookup'!$D$6:$D$2819,$G252))</f>
        <v/>
      </c>
      <c r="B252" s="5" t="str">
        <f>IF($G252="","",INDEX('EDS Lookup'!$B$6:$B$2819,$G252))</f>
        <v/>
      </c>
      <c r="C252" s="17"/>
      <c r="D252" s="6"/>
      <c r="E252" s="7" t="str">
        <f>IF($G252="","",INDEX('EDS Lookup'!$F$6:$F$2819,$G252))</f>
        <v/>
      </c>
      <c r="F252" s="8" t="str">
        <f>IF($G252="","",INDEX('EDS Lookup'!$G$6:$G$2819,$G252))</f>
        <v/>
      </c>
      <c r="G252" t="str">
        <f>IF(229&lt;=$B$4,IFERROR(MATCH(229,'EDS Lookup'!$H$6:$H$2819,0),""),"")</f>
        <v/>
      </c>
      <c r="H252" t="str">
        <f t="shared" si="3"/>
        <v/>
      </c>
    </row>
    <row r="253" spans="1:8" ht="19.95" customHeight="1">
      <c r="A253" s="5" t="str">
        <f>IF($G253="","",INDEX('EDS Lookup'!$D$6:$D$2819,$G253))</f>
        <v/>
      </c>
      <c r="B253" s="5" t="str">
        <f>IF($G253="","",INDEX('EDS Lookup'!$B$6:$B$2819,$G253))</f>
        <v/>
      </c>
      <c r="C253" s="17"/>
      <c r="D253" s="6"/>
      <c r="E253" s="7" t="str">
        <f>IF($G253="","",INDEX('EDS Lookup'!$F$6:$F$2819,$G253))</f>
        <v/>
      </c>
      <c r="F253" s="8" t="str">
        <f>IF($G253="","",INDEX('EDS Lookup'!$G$6:$G$2819,$G253))</f>
        <v/>
      </c>
      <c r="G253" t="str">
        <f>IF(230&lt;=$B$4,IFERROR(MATCH(230,'EDS Lookup'!$H$6:$H$2819,0),""),"")</f>
        <v/>
      </c>
      <c r="H253" t="str">
        <f t="shared" si="3"/>
        <v/>
      </c>
    </row>
    <row r="254" spans="1:8" ht="19.95" customHeight="1">
      <c r="A254" s="5" t="str">
        <f>IF($G254="","",INDEX('EDS Lookup'!$D$6:$D$2819,$G254))</f>
        <v/>
      </c>
      <c r="B254" s="5" t="str">
        <f>IF($G254="","",INDEX('EDS Lookup'!$B$6:$B$2819,$G254))</f>
        <v/>
      </c>
      <c r="C254" s="17"/>
      <c r="D254" s="6"/>
      <c r="E254" s="7" t="str">
        <f>IF($G254="","",INDEX('EDS Lookup'!$F$6:$F$2819,$G254))</f>
        <v/>
      </c>
      <c r="F254" s="8" t="str">
        <f>IF($G254="","",INDEX('EDS Lookup'!$G$6:$G$2819,$G254))</f>
        <v/>
      </c>
      <c r="G254" t="str">
        <f>IF(231&lt;=$B$4,IFERROR(MATCH(231,'EDS Lookup'!$H$6:$H$2819,0),""),"")</f>
        <v/>
      </c>
      <c r="H254" t="str">
        <f t="shared" si="3"/>
        <v/>
      </c>
    </row>
    <row r="255" spans="1:8" ht="19.95" customHeight="1">
      <c r="A255" s="5" t="str">
        <f>IF($G255="","",INDEX('EDS Lookup'!$D$6:$D$2819,$G255))</f>
        <v/>
      </c>
      <c r="B255" s="5" t="str">
        <f>IF($G255="","",INDEX('EDS Lookup'!$B$6:$B$2819,$G255))</f>
        <v/>
      </c>
      <c r="C255" s="17"/>
      <c r="D255" s="6"/>
      <c r="E255" s="7" t="str">
        <f>IF($G255="","",INDEX('EDS Lookup'!$F$6:$F$2819,$G255))</f>
        <v/>
      </c>
      <c r="F255" s="8" t="str">
        <f>IF($G255="","",INDEX('EDS Lookup'!$G$6:$G$2819,$G255))</f>
        <v/>
      </c>
      <c r="G255" t="str">
        <f>IF(232&lt;=$B$4,IFERROR(MATCH(232,'EDS Lookup'!$H$6:$H$2819,0),""),"")</f>
        <v/>
      </c>
      <c r="H255" t="str">
        <f t="shared" si="3"/>
        <v/>
      </c>
    </row>
    <row r="256" spans="1:8" ht="19.95" customHeight="1">
      <c r="A256" s="5" t="str">
        <f>IF($G256="","",INDEX('EDS Lookup'!$D$6:$D$2819,$G256))</f>
        <v/>
      </c>
      <c r="B256" s="5" t="str">
        <f>IF($G256="","",INDEX('EDS Lookup'!$B$6:$B$2819,$G256))</f>
        <v/>
      </c>
      <c r="C256" s="17"/>
      <c r="D256" s="6"/>
      <c r="E256" s="7" t="str">
        <f>IF($G256="","",INDEX('EDS Lookup'!$F$6:$F$2819,$G256))</f>
        <v/>
      </c>
      <c r="F256" s="8" t="str">
        <f>IF($G256="","",INDEX('EDS Lookup'!$G$6:$G$2819,$G256))</f>
        <v/>
      </c>
      <c r="G256" t="str">
        <f>IF(233&lt;=$B$4,IFERROR(MATCH(233,'EDS Lookup'!$H$6:$H$2819,0),""),"")</f>
        <v/>
      </c>
      <c r="H256" t="str">
        <f t="shared" si="3"/>
        <v/>
      </c>
    </row>
    <row r="257" spans="1:8" ht="19.95" customHeight="1">
      <c r="A257" s="5" t="str">
        <f>IF($G257="","",INDEX('EDS Lookup'!$D$6:$D$2819,$G257))</f>
        <v/>
      </c>
      <c r="B257" s="5" t="str">
        <f>IF($G257="","",INDEX('EDS Lookup'!$B$6:$B$2819,$G257))</f>
        <v/>
      </c>
      <c r="C257" s="17"/>
      <c r="D257" s="6"/>
      <c r="E257" s="7" t="str">
        <f>IF($G257="","",INDEX('EDS Lookup'!$F$6:$F$2819,$G257))</f>
        <v/>
      </c>
      <c r="F257" s="8" t="str">
        <f>IF($G257="","",INDEX('EDS Lookup'!$G$6:$G$2819,$G257))</f>
        <v/>
      </c>
      <c r="G257" t="str">
        <f>IF(234&lt;=$B$4,IFERROR(MATCH(234,'EDS Lookup'!$H$6:$H$2819,0),""),"")</f>
        <v/>
      </c>
      <c r="H257" t="str">
        <f t="shared" si="3"/>
        <v/>
      </c>
    </row>
    <row r="258" spans="1:8" ht="19.95" customHeight="1">
      <c r="A258" s="5" t="str">
        <f>IF($G258="","",INDEX('EDS Lookup'!$D$6:$D$2819,$G258))</f>
        <v/>
      </c>
      <c r="B258" s="5" t="str">
        <f>IF($G258="","",INDEX('EDS Lookup'!$B$6:$B$2819,$G258))</f>
        <v/>
      </c>
      <c r="C258" s="17"/>
      <c r="D258" s="6"/>
      <c r="E258" s="7" t="str">
        <f>IF($G258="","",INDEX('EDS Lookup'!$F$6:$F$2819,$G258))</f>
        <v/>
      </c>
      <c r="F258" s="8" t="str">
        <f>IF($G258="","",INDEX('EDS Lookup'!$G$6:$G$2819,$G258))</f>
        <v/>
      </c>
      <c r="G258" t="str">
        <f>IF(235&lt;=$B$4,IFERROR(MATCH(235,'EDS Lookup'!$H$6:$H$2819,0),""),"")</f>
        <v/>
      </c>
      <c r="H258" t="str">
        <f t="shared" si="3"/>
        <v/>
      </c>
    </row>
    <row r="259" spans="1:8" ht="19.95" customHeight="1">
      <c r="A259" s="5" t="str">
        <f>IF($G259="","",INDEX('EDS Lookup'!$D$6:$D$2819,$G259))</f>
        <v/>
      </c>
      <c r="B259" s="5" t="str">
        <f>IF($G259="","",INDEX('EDS Lookup'!$B$6:$B$2819,$G259))</f>
        <v/>
      </c>
      <c r="C259" s="17"/>
      <c r="D259" s="6"/>
      <c r="E259" s="7" t="str">
        <f>IF($G259="","",INDEX('EDS Lookup'!$F$6:$F$2819,$G259))</f>
        <v/>
      </c>
      <c r="F259" s="8" t="str">
        <f>IF($G259="","",INDEX('EDS Lookup'!$G$6:$G$2819,$G259))</f>
        <v/>
      </c>
      <c r="G259" t="str">
        <f>IF(236&lt;=$B$4,IFERROR(MATCH(236,'EDS Lookup'!$H$6:$H$2819,0),""),"")</f>
        <v/>
      </c>
      <c r="H259" t="str">
        <f t="shared" si="3"/>
        <v/>
      </c>
    </row>
    <row r="260" spans="1:8" ht="19.95" customHeight="1">
      <c r="A260" s="5" t="str">
        <f>IF($G260="","",INDEX('EDS Lookup'!$D$6:$D$2819,$G260))</f>
        <v/>
      </c>
      <c r="B260" s="5" t="str">
        <f>IF($G260="","",INDEX('EDS Lookup'!$B$6:$B$2819,$G260))</f>
        <v/>
      </c>
      <c r="C260" s="17"/>
      <c r="D260" s="6"/>
      <c r="E260" s="7" t="str">
        <f>IF($G260="","",INDEX('EDS Lookup'!$F$6:$F$2819,$G260))</f>
        <v/>
      </c>
      <c r="F260" s="8" t="str">
        <f>IF($G260="","",INDEX('EDS Lookup'!$G$6:$G$2819,$G260))</f>
        <v/>
      </c>
      <c r="G260" t="str">
        <f>IF(237&lt;=$B$4,IFERROR(MATCH(237,'EDS Lookup'!$H$6:$H$2819,0),""),"")</f>
        <v/>
      </c>
      <c r="H260" t="str">
        <f t="shared" si="3"/>
        <v/>
      </c>
    </row>
    <row r="261" spans="1:8" ht="19.95" customHeight="1">
      <c r="A261" s="5" t="str">
        <f>IF($G261="","",INDEX('EDS Lookup'!$D$6:$D$2819,$G261))</f>
        <v/>
      </c>
      <c r="B261" s="5" t="str">
        <f>IF($G261="","",INDEX('EDS Lookup'!$B$6:$B$2819,$G261))</f>
        <v/>
      </c>
      <c r="C261" s="17"/>
      <c r="D261" s="6"/>
      <c r="E261" s="7" t="str">
        <f>IF($G261="","",INDEX('EDS Lookup'!$F$6:$F$2819,$G261))</f>
        <v/>
      </c>
      <c r="F261" s="8" t="str">
        <f>IF($G261="","",INDEX('EDS Lookup'!$G$6:$G$2819,$G261))</f>
        <v/>
      </c>
      <c r="G261" t="str">
        <f>IF(238&lt;=$B$4,IFERROR(MATCH(238,'EDS Lookup'!$H$6:$H$2819,0),""),"")</f>
        <v/>
      </c>
      <c r="H261" t="str">
        <f t="shared" si="3"/>
        <v/>
      </c>
    </row>
    <row r="262" spans="1:8" ht="19.95" customHeight="1">
      <c r="A262" s="5" t="str">
        <f>IF($G262="","",INDEX('EDS Lookup'!$D$6:$D$2819,$G262))</f>
        <v/>
      </c>
      <c r="B262" s="5" t="str">
        <f>IF($G262="","",INDEX('EDS Lookup'!$B$6:$B$2819,$G262))</f>
        <v/>
      </c>
      <c r="C262" s="17"/>
      <c r="D262" s="6"/>
      <c r="E262" s="7" t="str">
        <f>IF($G262="","",INDEX('EDS Lookup'!$F$6:$F$2819,$G262))</f>
        <v/>
      </c>
      <c r="F262" s="8" t="str">
        <f>IF($G262="","",INDEX('EDS Lookup'!$G$6:$G$2819,$G262))</f>
        <v/>
      </c>
      <c r="G262" t="str">
        <f>IF(239&lt;=$B$4,IFERROR(MATCH(239,'EDS Lookup'!$H$6:$H$2819,0),""),"")</f>
        <v/>
      </c>
      <c r="H262" t="str">
        <f t="shared" si="3"/>
        <v/>
      </c>
    </row>
    <row r="263" spans="1:8" ht="19.95" customHeight="1">
      <c r="A263" s="5" t="str">
        <f>IF($G263="","",INDEX('EDS Lookup'!$D$6:$D$2819,$G263))</f>
        <v/>
      </c>
      <c r="B263" s="5" t="str">
        <f>IF($G263="","",INDEX('EDS Lookup'!$B$6:$B$2819,$G263))</f>
        <v/>
      </c>
      <c r="C263" s="17"/>
      <c r="D263" s="6"/>
      <c r="E263" s="7" t="str">
        <f>IF($G263="","",INDEX('EDS Lookup'!$F$6:$F$2819,$G263))</f>
        <v/>
      </c>
      <c r="F263" s="8" t="str">
        <f>IF($G263="","",INDEX('EDS Lookup'!$G$6:$G$2819,$G263))</f>
        <v/>
      </c>
      <c r="G263" t="str">
        <f>IF(240&lt;=$B$4,IFERROR(MATCH(240,'EDS Lookup'!$H$6:$H$2819,0),""),"")</f>
        <v/>
      </c>
      <c r="H263" t="str">
        <f t="shared" si="3"/>
        <v/>
      </c>
    </row>
    <row r="264" spans="1:8" ht="19.95" customHeight="1">
      <c r="A264" s="5" t="str">
        <f>IF($G264="","",INDEX('EDS Lookup'!$D$6:$D$2819,$G264))</f>
        <v/>
      </c>
      <c r="B264" s="5" t="str">
        <f>IF($G264="","",INDEX('EDS Lookup'!$B$6:$B$2819,$G264))</f>
        <v/>
      </c>
      <c r="C264" s="17"/>
      <c r="D264" s="6"/>
      <c r="E264" s="7" t="str">
        <f>IF($G264="","",INDEX('EDS Lookup'!$F$6:$F$2819,$G264))</f>
        <v/>
      </c>
      <c r="F264" s="8" t="str">
        <f>IF($G264="","",INDEX('EDS Lookup'!$G$6:$G$2819,$G264))</f>
        <v/>
      </c>
      <c r="G264" t="str">
        <f>IF(241&lt;=$B$4,IFERROR(MATCH(241,'EDS Lookup'!$H$6:$H$2819,0),""),"")</f>
        <v/>
      </c>
      <c r="H264" t="str">
        <f t="shared" si="3"/>
        <v/>
      </c>
    </row>
    <row r="265" spans="1:8" ht="19.95" customHeight="1">
      <c r="A265" s="5" t="str">
        <f>IF($G265="","",INDEX('EDS Lookup'!$D$6:$D$2819,$G265))</f>
        <v/>
      </c>
      <c r="B265" s="5" t="str">
        <f>IF($G265="","",INDEX('EDS Lookup'!$B$6:$B$2819,$G265))</f>
        <v/>
      </c>
      <c r="C265" s="17"/>
      <c r="D265" s="6"/>
      <c r="E265" s="7" t="str">
        <f>IF($G265="","",INDEX('EDS Lookup'!$F$6:$F$2819,$G265))</f>
        <v/>
      </c>
      <c r="F265" s="8" t="str">
        <f>IF($G265="","",INDEX('EDS Lookup'!$G$6:$G$2819,$G265))</f>
        <v/>
      </c>
      <c r="G265" t="str">
        <f>IF(242&lt;=$B$4,IFERROR(MATCH(242,'EDS Lookup'!$H$6:$H$2819,0),""),"")</f>
        <v/>
      </c>
      <c r="H265" t="str">
        <f t="shared" si="3"/>
        <v/>
      </c>
    </row>
    <row r="266" spans="1:8" ht="19.95" customHeight="1">
      <c r="A266" s="5" t="str">
        <f>IF($G266="","",INDEX('EDS Lookup'!$D$6:$D$2819,$G266))</f>
        <v/>
      </c>
      <c r="B266" s="5" t="str">
        <f>IF($G266="","",INDEX('EDS Lookup'!$B$6:$B$2819,$G266))</f>
        <v/>
      </c>
      <c r="C266" s="17"/>
      <c r="D266" s="6"/>
      <c r="E266" s="7" t="str">
        <f>IF($G266="","",INDEX('EDS Lookup'!$F$6:$F$2819,$G266))</f>
        <v/>
      </c>
      <c r="F266" s="8" t="str">
        <f>IF($G266="","",INDEX('EDS Lookup'!$G$6:$G$2819,$G266))</f>
        <v/>
      </c>
      <c r="G266" t="str">
        <f>IF(243&lt;=$B$4,IFERROR(MATCH(243,'EDS Lookup'!$H$6:$H$2819,0),""),"")</f>
        <v/>
      </c>
      <c r="H266" t="str">
        <f t="shared" si="3"/>
        <v/>
      </c>
    </row>
    <row r="267" spans="1:8" ht="19.95" customHeight="1">
      <c r="A267" s="5" t="str">
        <f>IF($G267="","",INDEX('EDS Lookup'!$D$6:$D$2819,$G267))</f>
        <v/>
      </c>
      <c r="B267" s="5" t="str">
        <f>IF($G267="","",INDEX('EDS Lookup'!$B$6:$B$2819,$G267))</f>
        <v/>
      </c>
      <c r="C267" s="17"/>
      <c r="D267" s="6"/>
      <c r="E267" s="7" t="str">
        <f>IF($G267="","",INDEX('EDS Lookup'!$F$6:$F$2819,$G267))</f>
        <v/>
      </c>
      <c r="F267" s="8" t="str">
        <f>IF($G267="","",INDEX('EDS Lookup'!$G$6:$G$2819,$G267))</f>
        <v/>
      </c>
      <c r="G267" t="str">
        <f>IF(244&lt;=$B$4,IFERROR(MATCH(244,'EDS Lookup'!$H$6:$H$2819,0),""),"")</f>
        <v/>
      </c>
      <c r="H267" t="str">
        <f t="shared" si="3"/>
        <v/>
      </c>
    </row>
    <row r="268" spans="1:8" ht="19.95" customHeight="1">
      <c r="A268" s="5" t="str">
        <f>IF($G268="","",INDEX('EDS Lookup'!$D$6:$D$2819,$G268))</f>
        <v/>
      </c>
      <c r="B268" s="5" t="str">
        <f>IF($G268="","",INDEX('EDS Lookup'!$B$6:$B$2819,$G268))</f>
        <v/>
      </c>
      <c r="C268" s="17"/>
      <c r="D268" s="6"/>
      <c r="E268" s="7" t="str">
        <f>IF($G268="","",INDEX('EDS Lookup'!$F$6:$F$2819,$G268))</f>
        <v/>
      </c>
      <c r="F268" s="8" t="str">
        <f>IF($G268="","",INDEX('EDS Lookup'!$G$6:$G$2819,$G268))</f>
        <v/>
      </c>
      <c r="G268" t="str">
        <f>IF(245&lt;=$B$4,IFERROR(MATCH(245,'EDS Lookup'!$H$6:$H$2819,0),""),"")</f>
        <v/>
      </c>
      <c r="H268" t="str">
        <f t="shared" si="3"/>
        <v/>
      </c>
    </row>
    <row r="269" spans="1:8" ht="19.95" customHeight="1">
      <c r="A269" s="5" t="str">
        <f>IF($G269="","",INDEX('EDS Lookup'!$D$6:$D$2819,$G269))</f>
        <v/>
      </c>
      <c r="B269" s="5" t="str">
        <f>IF($G269="","",INDEX('EDS Lookup'!$B$6:$B$2819,$G269))</f>
        <v/>
      </c>
      <c r="C269" s="17"/>
      <c r="D269" s="6"/>
      <c r="E269" s="7" t="str">
        <f>IF($G269="","",INDEX('EDS Lookup'!$F$6:$F$2819,$G269))</f>
        <v/>
      </c>
      <c r="F269" s="8" t="str">
        <f>IF($G269="","",INDEX('EDS Lookup'!$G$6:$G$2819,$G269))</f>
        <v/>
      </c>
      <c r="G269" t="str">
        <f>IF(246&lt;=$B$4,IFERROR(MATCH(246,'EDS Lookup'!$H$6:$H$2819,0),""),"")</f>
        <v/>
      </c>
      <c r="H269" t="str">
        <f t="shared" si="3"/>
        <v/>
      </c>
    </row>
    <row r="270" spans="1:8" ht="19.95" customHeight="1">
      <c r="A270" s="5" t="str">
        <f>IF($G270="","",INDEX('EDS Lookup'!$D$6:$D$2819,$G270))</f>
        <v/>
      </c>
      <c r="B270" s="5" t="str">
        <f>IF($G270="","",INDEX('EDS Lookup'!$B$6:$B$2819,$G270))</f>
        <v/>
      </c>
      <c r="C270" s="17"/>
      <c r="D270" s="6"/>
      <c r="E270" s="7" t="str">
        <f>IF($G270="","",INDEX('EDS Lookup'!$F$6:$F$2819,$G270))</f>
        <v/>
      </c>
      <c r="F270" s="8" t="str">
        <f>IF($G270="","",INDEX('EDS Lookup'!$G$6:$G$2819,$G270))</f>
        <v/>
      </c>
      <c r="G270" t="str">
        <f>IF(247&lt;=$B$4,IFERROR(MATCH(247,'EDS Lookup'!$H$6:$H$2819,0),""),"")</f>
        <v/>
      </c>
      <c r="H270" t="str">
        <f t="shared" si="3"/>
        <v/>
      </c>
    </row>
    <row r="271" spans="1:8" ht="19.95" customHeight="1">
      <c r="A271" s="5" t="str">
        <f>IF($G271="","",INDEX('EDS Lookup'!$D$6:$D$2819,$G271))</f>
        <v/>
      </c>
      <c r="B271" s="5" t="str">
        <f>IF($G271="","",INDEX('EDS Lookup'!$B$6:$B$2819,$G271))</f>
        <v/>
      </c>
      <c r="C271" s="17"/>
      <c r="D271" s="6"/>
      <c r="E271" s="7" t="str">
        <f>IF($G271="","",INDEX('EDS Lookup'!$F$6:$F$2819,$G271))</f>
        <v/>
      </c>
      <c r="F271" s="8" t="str">
        <f>IF($G271="","",INDEX('EDS Lookup'!$G$6:$G$2819,$G271))</f>
        <v/>
      </c>
      <c r="G271" t="str">
        <f>IF(248&lt;=$B$4,IFERROR(MATCH(248,'EDS Lookup'!$H$6:$H$2819,0),""),"")</f>
        <v/>
      </c>
      <c r="H271" t="str">
        <f t="shared" si="3"/>
        <v/>
      </c>
    </row>
    <row r="272" spans="1:8" ht="19.95" customHeight="1">
      <c r="A272" s="5" t="str">
        <f>IF($G272="","",INDEX('EDS Lookup'!$D$6:$D$2819,$G272))</f>
        <v/>
      </c>
      <c r="B272" s="5" t="str">
        <f>IF($G272="","",INDEX('EDS Lookup'!$B$6:$B$2819,$G272))</f>
        <v/>
      </c>
      <c r="C272" s="17"/>
      <c r="D272" s="6"/>
      <c r="E272" s="7" t="str">
        <f>IF($G272="","",INDEX('EDS Lookup'!$F$6:$F$2819,$G272))</f>
        <v/>
      </c>
      <c r="F272" s="8" t="str">
        <f>IF($G272="","",INDEX('EDS Lookup'!$G$6:$G$2819,$G272))</f>
        <v/>
      </c>
      <c r="G272" t="str">
        <f>IF(249&lt;=$B$4,IFERROR(MATCH(249,'EDS Lookup'!$H$6:$H$2819,0),""),"")</f>
        <v/>
      </c>
      <c r="H272" t="str">
        <f t="shared" si="3"/>
        <v/>
      </c>
    </row>
    <row r="273" spans="1:8" ht="19.95" customHeight="1">
      <c r="A273" s="5" t="str">
        <f>IF($G273="","",INDEX('EDS Lookup'!$D$6:$D$2819,$G273))</f>
        <v/>
      </c>
      <c r="B273" s="5" t="str">
        <f>IF($G273="","",INDEX('EDS Lookup'!$B$6:$B$2819,$G273))</f>
        <v/>
      </c>
      <c r="C273" s="17"/>
      <c r="D273" s="6"/>
      <c r="E273" s="7" t="str">
        <f>IF($G273="","",INDEX('EDS Lookup'!$F$6:$F$2819,$G273))</f>
        <v/>
      </c>
      <c r="F273" s="8" t="str">
        <f>IF($G273="","",INDEX('EDS Lookup'!$G$6:$G$2819,$G273))</f>
        <v/>
      </c>
      <c r="G273" t="str">
        <f>IF(250&lt;=$B$4,IFERROR(MATCH(250,'EDS Lookup'!$H$6:$H$2819,0),""),"")</f>
        <v/>
      </c>
      <c r="H273" t="str">
        <f t="shared" si="3"/>
        <v/>
      </c>
    </row>
    <row r="274" spans="1:8" ht="19.95" customHeight="1">
      <c r="A274" s="5" t="str">
        <f>IF($G274="","",INDEX('EDS Lookup'!$D$6:$D$2819,$G274))</f>
        <v/>
      </c>
      <c r="B274" s="5" t="str">
        <f>IF($G274="","",INDEX('EDS Lookup'!$B$6:$B$2819,$G274))</f>
        <v/>
      </c>
      <c r="C274" s="17"/>
      <c r="D274" s="6"/>
      <c r="E274" s="7" t="str">
        <f>IF($G274="","",INDEX('EDS Lookup'!$F$6:$F$2819,$G274))</f>
        <v/>
      </c>
      <c r="F274" s="8" t="str">
        <f>IF($G274="","",INDEX('EDS Lookup'!$G$6:$G$2819,$G274))</f>
        <v/>
      </c>
      <c r="G274" t="str">
        <f>IF(251&lt;=$B$4,IFERROR(MATCH(251,'EDS Lookup'!$H$6:$H$2819,0),""),"")</f>
        <v/>
      </c>
      <c r="H274" t="str">
        <f t="shared" si="3"/>
        <v/>
      </c>
    </row>
    <row r="275" spans="1:8" ht="19.95" customHeight="1">
      <c r="A275" s="5" t="str">
        <f>IF($G275="","",INDEX('EDS Lookup'!$D$6:$D$2819,$G275))</f>
        <v/>
      </c>
      <c r="B275" s="5" t="str">
        <f>IF($G275="","",INDEX('EDS Lookup'!$B$6:$B$2819,$G275))</f>
        <v/>
      </c>
      <c r="C275" s="17"/>
      <c r="D275" s="6"/>
      <c r="E275" s="7" t="str">
        <f>IF($G275="","",INDEX('EDS Lookup'!$F$6:$F$2819,$G275))</f>
        <v/>
      </c>
      <c r="F275" s="8" t="str">
        <f>IF($G275="","",INDEX('EDS Lookup'!$G$6:$G$2819,$G275))</f>
        <v/>
      </c>
      <c r="G275" t="str">
        <f>IF(252&lt;=$B$4,IFERROR(MATCH(252,'EDS Lookup'!$H$6:$H$2819,0),""),"")</f>
        <v/>
      </c>
      <c r="H275" t="str">
        <f t="shared" si="3"/>
        <v/>
      </c>
    </row>
    <row r="276" spans="1:8" ht="19.95" customHeight="1">
      <c r="A276" s="5" t="str">
        <f>IF($G276="","",INDEX('EDS Lookup'!$D$6:$D$2819,$G276))</f>
        <v/>
      </c>
      <c r="B276" s="5" t="str">
        <f>IF($G276="","",INDEX('EDS Lookup'!$B$6:$B$2819,$G276))</f>
        <v/>
      </c>
      <c r="C276" s="17"/>
      <c r="D276" s="6"/>
      <c r="E276" s="7" t="str">
        <f>IF($G276="","",INDEX('EDS Lookup'!$F$6:$F$2819,$G276))</f>
        <v/>
      </c>
      <c r="F276" s="8" t="str">
        <f>IF($G276="","",INDEX('EDS Lookup'!$G$6:$G$2819,$G276))</f>
        <v/>
      </c>
      <c r="G276" t="str">
        <f>IF(253&lt;=$B$4,IFERROR(MATCH(253,'EDS Lookup'!$H$6:$H$2819,0),""),"")</f>
        <v/>
      </c>
      <c r="H276" t="str">
        <f t="shared" si="3"/>
        <v/>
      </c>
    </row>
    <row r="277" spans="1:8" ht="19.95" customHeight="1">
      <c r="A277" s="5" t="str">
        <f>IF($G277="","",INDEX('EDS Lookup'!$D$6:$D$2819,$G277))</f>
        <v/>
      </c>
      <c r="B277" s="5" t="str">
        <f>IF($G277="","",INDEX('EDS Lookup'!$B$6:$B$2819,$G277))</f>
        <v/>
      </c>
      <c r="C277" s="17"/>
      <c r="D277" s="6"/>
      <c r="E277" s="7" t="str">
        <f>IF($G277="","",INDEX('EDS Lookup'!$F$6:$F$2819,$G277))</f>
        <v/>
      </c>
      <c r="F277" s="8" t="str">
        <f>IF($G277="","",INDEX('EDS Lookup'!$G$6:$G$2819,$G277))</f>
        <v/>
      </c>
      <c r="G277" t="str">
        <f>IF(254&lt;=$B$4,IFERROR(MATCH(254,'EDS Lookup'!$H$6:$H$2819,0),""),"")</f>
        <v/>
      </c>
      <c r="H277" t="str">
        <f t="shared" si="3"/>
        <v/>
      </c>
    </row>
    <row r="278" spans="1:8" ht="19.95" customHeight="1">
      <c r="A278" s="5" t="str">
        <f>IF($G278="","",INDEX('EDS Lookup'!$D$6:$D$2819,$G278))</f>
        <v/>
      </c>
      <c r="B278" s="5" t="str">
        <f>IF($G278="","",INDEX('EDS Lookup'!$B$6:$B$2819,$G278))</f>
        <v/>
      </c>
      <c r="C278" s="17"/>
      <c r="D278" s="6"/>
      <c r="E278" s="7" t="str">
        <f>IF($G278="","",INDEX('EDS Lookup'!$F$6:$F$2819,$G278))</f>
        <v/>
      </c>
      <c r="F278" s="8" t="str">
        <f>IF($G278="","",INDEX('EDS Lookup'!$G$6:$G$2819,$G278))</f>
        <v/>
      </c>
      <c r="G278" t="str">
        <f>IF(255&lt;=$B$4,IFERROR(MATCH(255,'EDS Lookup'!$H$6:$H$2819,0),""),"")</f>
        <v/>
      </c>
      <c r="H278" t="str">
        <f t="shared" si="3"/>
        <v/>
      </c>
    </row>
    <row r="279" spans="1:8" ht="19.95" customHeight="1">
      <c r="A279" s="5" t="str">
        <f>IF($G279="","",INDEX('EDS Lookup'!$D$6:$D$2819,$G279))</f>
        <v/>
      </c>
      <c r="B279" s="5" t="str">
        <f>IF($G279="","",INDEX('EDS Lookup'!$B$6:$B$2819,$G279))</f>
        <v/>
      </c>
      <c r="C279" s="17"/>
      <c r="D279" s="6"/>
      <c r="E279" s="7" t="str">
        <f>IF($G279="","",INDEX('EDS Lookup'!$F$6:$F$2819,$G279))</f>
        <v/>
      </c>
      <c r="F279" s="8" t="str">
        <f>IF($G279="","",INDEX('EDS Lookup'!$G$6:$G$2819,$G279))</f>
        <v/>
      </c>
      <c r="G279" t="str">
        <f>IF(256&lt;=$B$4,IFERROR(MATCH(256,'EDS Lookup'!$H$6:$H$2819,0),""),"")</f>
        <v/>
      </c>
      <c r="H279" t="str">
        <f t="shared" si="3"/>
        <v/>
      </c>
    </row>
    <row r="280" spans="1:8" ht="19.95" customHeight="1">
      <c r="A280" s="5" t="str">
        <f>IF($G280="","",INDEX('EDS Lookup'!$D$6:$D$2819,$G280))</f>
        <v/>
      </c>
      <c r="B280" s="5" t="str">
        <f>IF($G280="","",INDEX('EDS Lookup'!$B$6:$B$2819,$G280))</f>
        <v/>
      </c>
      <c r="C280" s="17"/>
      <c r="D280" s="6"/>
      <c r="E280" s="7" t="str">
        <f>IF($G280="","",INDEX('EDS Lookup'!$F$6:$F$2819,$G280))</f>
        <v/>
      </c>
      <c r="F280" s="8" t="str">
        <f>IF($G280="","",INDEX('EDS Lookup'!$G$6:$G$2819,$G280))</f>
        <v/>
      </c>
      <c r="G280" t="str">
        <f>IF(257&lt;=$B$4,IFERROR(MATCH(257,'EDS Lookup'!$H$6:$H$2819,0),""),"")</f>
        <v/>
      </c>
      <c r="H280" t="str">
        <f t="shared" ref="H280:H343" si="4">IF(F280="&lt;5",5,IF(F280="&gt;95",95,IF(ISNUMBER(F280),F280,"")))</f>
        <v/>
      </c>
    </row>
    <row r="281" spans="1:8" ht="19.95" customHeight="1">
      <c r="A281" s="5" t="str">
        <f>IF($G281="","",INDEX('EDS Lookup'!$D$6:$D$2819,$G281))</f>
        <v/>
      </c>
      <c r="B281" s="5" t="str">
        <f>IF($G281="","",INDEX('EDS Lookup'!$B$6:$B$2819,$G281))</f>
        <v/>
      </c>
      <c r="C281" s="17"/>
      <c r="D281" s="6"/>
      <c r="E281" s="7" t="str">
        <f>IF($G281="","",INDEX('EDS Lookup'!$F$6:$F$2819,$G281))</f>
        <v/>
      </c>
      <c r="F281" s="8" t="str">
        <f>IF($G281="","",INDEX('EDS Lookup'!$G$6:$G$2819,$G281))</f>
        <v/>
      </c>
      <c r="G281" t="str">
        <f>IF(258&lt;=$B$4,IFERROR(MATCH(258,'EDS Lookup'!$H$6:$H$2819,0),""),"")</f>
        <v/>
      </c>
      <c r="H281" t="str">
        <f t="shared" si="4"/>
        <v/>
      </c>
    </row>
    <row r="282" spans="1:8" ht="19.95" customHeight="1">
      <c r="A282" s="5" t="str">
        <f>IF($G282="","",INDEX('EDS Lookup'!$D$6:$D$2819,$G282))</f>
        <v/>
      </c>
      <c r="B282" s="5" t="str">
        <f>IF($G282="","",INDEX('EDS Lookup'!$B$6:$B$2819,$G282))</f>
        <v/>
      </c>
      <c r="C282" s="17"/>
      <c r="D282" s="6"/>
      <c r="E282" s="7" t="str">
        <f>IF($G282="","",INDEX('EDS Lookup'!$F$6:$F$2819,$G282))</f>
        <v/>
      </c>
      <c r="F282" s="8" t="str">
        <f>IF($G282="","",INDEX('EDS Lookup'!$G$6:$G$2819,$G282))</f>
        <v/>
      </c>
      <c r="G282" t="str">
        <f>IF(259&lt;=$B$4,IFERROR(MATCH(259,'EDS Lookup'!$H$6:$H$2819,0),""),"")</f>
        <v/>
      </c>
      <c r="H282" t="str">
        <f t="shared" si="4"/>
        <v/>
      </c>
    </row>
    <row r="283" spans="1:8" ht="19.95" customHeight="1">
      <c r="A283" s="5" t="str">
        <f>IF($G283="","",INDEX('EDS Lookup'!$D$6:$D$2819,$G283))</f>
        <v/>
      </c>
      <c r="B283" s="5" t="str">
        <f>IF($G283="","",INDEX('EDS Lookup'!$B$6:$B$2819,$G283))</f>
        <v/>
      </c>
      <c r="C283" s="17"/>
      <c r="D283" s="6"/>
      <c r="E283" s="7" t="str">
        <f>IF($G283="","",INDEX('EDS Lookup'!$F$6:$F$2819,$G283))</f>
        <v/>
      </c>
      <c r="F283" s="8" t="str">
        <f>IF($G283="","",INDEX('EDS Lookup'!$G$6:$G$2819,$G283))</f>
        <v/>
      </c>
      <c r="G283" t="str">
        <f>IF(260&lt;=$B$4,IFERROR(MATCH(260,'EDS Lookup'!$H$6:$H$2819,0),""),"")</f>
        <v/>
      </c>
      <c r="H283" t="str">
        <f t="shared" si="4"/>
        <v/>
      </c>
    </row>
    <row r="284" spans="1:8" ht="19.95" customHeight="1">
      <c r="A284" s="5" t="str">
        <f>IF($G284="","",INDEX('EDS Lookup'!$D$6:$D$2819,$G284))</f>
        <v/>
      </c>
      <c r="B284" s="5" t="str">
        <f>IF($G284="","",INDEX('EDS Lookup'!$B$6:$B$2819,$G284))</f>
        <v/>
      </c>
      <c r="C284" s="17"/>
      <c r="D284" s="6"/>
      <c r="E284" s="7" t="str">
        <f>IF($G284="","",INDEX('EDS Lookup'!$F$6:$F$2819,$G284))</f>
        <v/>
      </c>
      <c r="F284" s="8" t="str">
        <f>IF($G284="","",INDEX('EDS Lookup'!$G$6:$G$2819,$G284))</f>
        <v/>
      </c>
      <c r="G284" t="str">
        <f>IF(261&lt;=$B$4,IFERROR(MATCH(261,'EDS Lookup'!$H$6:$H$2819,0),""),"")</f>
        <v/>
      </c>
      <c r="H284" t="str">
        <f t="shared" si="4"/>
        <v/>
      </c>
    </row>
    <row r="285" spans="1:8" ht="19.95" customHeight="1">
      <c r="A285" s="5" t="str">
        <f>IF($G285="","",INDEX('EDS Lookup'!$D$6:$D$2819,$G285))</f>
        <v/>
      </c>
      <c r="B285" s="5" t="str">
        <f>IF($G285="","",INDEX('EDS Lookup'!$B$6:$B$2819,$G285))</f>
        <v/>
      </c>
      <c r="C285" s="17"/>
      <c r="D285" s="6"/>
      <c r="E285" s="7" t="str">
        <f>IF($G285="","",INDEX('EDS Lookup'!$F$6:$F$2819,$G285))</f>
        <v/>
      </c>
      <c r="F285" s="8" t="str">
        <f>IF($G285="","",INDEX('EDS Lookup'!$G$6:$G$2819,$G285))</f>
        <v/>
      </c>
      <c r="G285" t="str">
        <f>IF(262&lt;=$B$4,IFERROR(MATCH(262,'EDS Lookup'!$H$6:$H$2819,0),""),"")</f>
        <v/>
      </c>
      <c r="H285" t="str">
        <f t="shared" si="4"/>
        <v/>
      </c>
    </row>
    <row r="286" spans="1:8" ht="19.95" customHeight="1">
      <c r="A286" s="5" t="str">
        <f>IF($G286="","",INDEX('EDS Lookup'!$D$6:$D$2819,$G286))</f>
        <v/>
      </c>
      <c r="B286" s="5" t="str">
        <f>IF($G286="","",INDEX('EDS Lookup'!$B$6:$B$2819,$G286))</f>
        <v/>
      </c>
      <c r="C286" s="17"/>
      <c r="D286" s="6"/>
      <c r="E286" s="7" t="str">
        <f>IF($G286="","",INDEX('EDS Lookup'!$F$6:$F$2819,$G286))</f>
        <v/>
      </c>
      <c r="F286" s="8" t="str">
        <f>IF($G286="","",INDEX('EDS Lookup'!$G$6:$G$2819,$G286))</f>
        <v/>
      </c>
      <c r="G286" t="str">
        <f>IF(263&lt;=$B$4,IFERROR(MATCH(263,'EDS Lookup'!$H$6:$H$2819,0),""),"")</f>
        <v/>
      </c>
      <c r="H286" t="str">
        <f t="shared" si="4"/>
        <v/>
      </c>
    </row>
    <row r="287" spans="1:8" ht="19.95" customHeight="1">
      <c r="A287" s="5" t="str">
        <f>IF($G287="","",INDEX('EDS Lookup'!$D$6:$D$2819,$G287))</f>
        <v/>
      </c>
      <c r="B287" s="5" t="str">
        <f>IF($G287="","",INDEX('EDS Lookup'!$B$6:$B$2819,$G287))</f>
        <v/>
      </c>
      <c r="C287" s="17"/>
      <c r="D287" s="6"/>
      <c r="E287" s="7" t="str">
        <f>IF($G287="","",INDEX('EDS Lookup'!$F$6:$F$2819,$G287))</f>
        <v/>
      </c>
      <c r="F287" s="8" t="str">
        <f>IF($G287="","",INDEX('EDS Lookup'!$G$6:$G$2819,$G287))</f>
        <v/>
      </c>
      <c r="G287" t="str">
        <f>IF(264&lt;=$B$4,IFERROR(MATCH(264,'EDS Lookup'!$H$6:$H$2819,0),""),"")</f>
        <v/>
      </c>
      <c r="H287" t="str">
        <f t="shared" si="4"/>
        <v/>
      </c>
    </row>
    <row r="288" spans="1:8" ht="19.95" customHeight="1">
      <c r="A288" s="5" t="str">
        <f>IF($G288="","",INDEX('EDS Lookup'!$D$6:$D$2819,$G288))</f>
        <v/>
      </c>
      <c r="B288" s="5" t="str">
        <f>IF($G288="","",INDEX('EDS Lookup'!$B$6:$B$2819,$G288))</f>
        <v/>
      </c>
      <c r="C288" s="17"/>
      <c r="D288" s="6"/>
      <c r="E288" s="7" t="str">
        <f>IF($G288="","",INDEX('EDS Lookup'!$F$6:$F$2819,$G288))</f>
        <v/>
      </c>
      <c r="F288" s="8" t="str">
        <f>IF($G288="","",INDEX('EDS Lookup'!$G$6:$G$2819,$G288))</f>
        <v/>
      </c>
      <c r="G288" t="str">
        <f>IF(265&lt;=$B$4,IFERROR(MATCH(265,'EDS Lookup'!$H$6:$H$2819,0),""),"")</f>
        <v/>
      </c>
      <c r="H288" t="str">
        <f t="shared" si="4"/>
        <v/>
      </c>
    </row>
    <row r="289" spans="1:8" ht="19.95" customHeight="1">
      <c r="A289" s="5" t="str">
        <f>IF($G289="","",INDEX('EDS Lookup'!$D$6:$D$2819,$G289))</f>
        <v/>
      </c>
      <c r="B289" s="5" t="str">
        <f>IF($G289="","",INDEX('EDS Lookup'!$B$6:$B$2819,$G289))</f>
        <v/>
      </c>
      <c r="C289" s="17"/>
      <c r="D289" s="6"/>
      <c r="E289" s="7" t="str">
        <f>IF($G289="","",INDEX('EDS Lookup'!$F$6:$F$2819,$G289))</f>
        <v/>
      </c>
      <c r="F289" s="8" t="str">
        <f>IF($G289="","",INDEX('EDS Lookup'!$G$6:$G$2819,$G289))</f>
        <v/>
      </c>
      <c r="G289" t="str">
        <f>IF(266&lt;=$B$4,IFERROR(MATCH(266,'EDS Lookup'!$H$6:$H$2819,0),""),"")</f>
        <v/>
      </c>
      <c r="H289" t="str">
        <f t="shared" si="4"/>
        <v/>
      </c>
    </row>
    <row r="290" spans="1:8" ht="19.95" customHeight="1">
      <c r="A290" s="5" t="str">
        <f>IF($G290="","",INDEX('EDS Lookup'!$D$6:$D$2819,$G290))</f>
        <v/>
      </c>
      <c r="B290" s="5" t="str">
        <f>IF($G290="","",INDEX('EDS Lookup'!$B$6:$B$2819,$G290))</f>
        <v/>
      </c>
      <c r="C290" s="17"/>
      <c r="D290" s="6"/>
      <c r="E290" s="7" t="str">
        <f>IF($G290="","",INDEX('EDS Lookup'!$F$6:$F$2819,$G290))</f>
        <v/>
      </c>
      <c r="F290" s="8" t="str">
        <f>IF($G290="","",INDEX('EDS Lookup'!$G$6:$G$2819,$G290))</f>
        <v/>
      </c>
      <c r="G290" t="str">
        <f>IF(267&lt;=$B$4,IFERROR(MATCH(267,'EDS Lookup'!$H$6:$H$2819,0),""),"")</f>
        <v/>
      </c>
      <c r="H290" t="str">
        <f t="shared" si="4"/>
        <v/>
      </c>
    </row>
    <row r="291" spans="1:8" ht="19.95" customHeight="1">
      <c r="A291" s="5" t="str">
        <f>IF($G291="","",INDEX('EDS Lookup'!$D$6:$D$2819,$G291))</f>
        <v/>
      </c>
      <c r="B291" s="5" t="str">
        <f>IF($G291="","",INDEX('EDS Lookup'!$B$6:$B$2819,$G291))</f>
        <v/>
      </c>
      <c r="C291" s="17"/>
      <c r="D291" s="6"/>
      <c r="E291" s="7" t="str">
        <f>IF($G291="","",INDEX('EDS Lookup'!$F$6:$F$2819,$G291))</f>
        <v/>
      </c>
      <c r="F291" s="8" t="str">
        <f>IF($G291="","",INDEX('EDS Lookup'!$G$6:$G$2819,$G291))</f>
        <v/>
      </c>
      <c r="G291" t="str">
        <f>IF(268&lt;=$B$4,IFERROR(MATCH(268,'EDS Lookup'!$H$6:$H$2819,0),""),"")</f>
        <v/>
      </c>
      <c r="H291" t="str">
        <f t="shared" si="4"/>
        <v/>
      </c>
    </row>
    <row r="292" spans="1:8" ht="19.95" customHeight="1">
      <c r="A292" s="5" t="str">
        <f>IF($G292="","",INDEX('EDS Lookup'!$D$6:$D$2819,$G292))</f>
        <v/>
      </c>
      <c r="B292" s="5" t="str">
        <f>IF($G292="","",INDEX('EDS Lookup'!$B$6:$B$2819,$G292))</f>
        <v/>
      </c>
      <c r="C292" s="17"/>
      <c r="D292" s="6"/>
      <c r="E292" s="7" t="str">
        <f>IF($G292="","",INDEX('EDS Lookup'!$F$6:$F$2819,$G292))</f>
        <v/>
      </c>
      <c r="F292" s="8" t="str">
        <f>IF($G292="","",INDEX('EDS Lookup'!$G$6:$G$2819,$G292))</f>
        <v/>
      </c>
      <c r="G292" t="str">
        <f>IF(269&lt;=$B$4,IFERROR(MATCH(269,'EDS Lookup'!$H$6:$H$2819,0),""),"")</f>
        <v/>
      </c>
      <c r="H292" t="str">
        <f t="shared" si="4"/>
        <v/>
      </c>
    </row>
    <row r="293" spans="1:8" ht="19.95" customHeight="1">
      <c r="A293" s="5" t="str">
        <f>IF($G293="","",INDEX('EDS Lookup'!$D$6:$D$2819,$G293))</f>
        <v/>
      </c>
      <c r="B293" s="5" t="str">
        <f>IF($G293="","",INDEX('EDS Lookup'!$B$6:$B$2819,$G293))</f>
        <v/>
      </c>
      <c r="C293" s="17"/>
      <c r="D293" s="6"/>
      <c r="E293" s="7" t="str">
        <f>IF($G293="","",INDEX('EDS Lookup'!$F$6:$F$2819,$G293))</f>
        <v/>
      </c>
      <c r="F293" s="8" t="str">
        <f>IF($G293="","",INDEX('EDS Lookup'!$G$6:$G$2819,$G293))</f>
        <v/>
      </c>
      <c r="G293" t="str">
        <f>IF(270&lt;=$B$4,IFERROR(MATCH(270,'EDS Lookup'!$H$6:$H$2819,0),""),"")</f>
        <v/>
      </c>
      <c r="H293" t="str">
        <f t="shared" si="4"/>
        <v/>
      </c>
    </row>
    <row r="294" spans="1:8" ht="19.95" customHeight="1">
      <c r="A294" s="5" t="str">
        <f>IF($G294="","",INDEX('EDS Lookup'!$D$6:$D$2819,$G294))</f>
        <v/>
      </c>
      <c r="B294" s="5" t="str">
        <f>IF($G294="","",INDEX('EDS Lookup'!$B$6:$B$2819,$G294))</f>
        <v/>
      </c>
      <c r="C294" s="17"/>
      <c r="D294" s="6"/>
      <c r="E294" s="7" t="str">
        <f>IF($G294="","",INDEX('EDS Lookup'!$F$6:$F$2819,$G294))</f>
        <v/>
      </c>
      <c r="F294" s="8" t="str">
        <f>IF($G294="","",INDEX('EDS Lookup'!$G$6:$G$2819,$G294))</f>
        <v/>
      </c>
      <c r="G294" t="str">
        <f>IF(271&lt;=$B$4,IFERROR(MATCH(271,'EDS Lookup'!$H$6:$H$2819,0),""),"")</f>
        <v/>
      </c>
      <c r="H294" t="str">
        <f t="shared" si="4"/>
        <v/>
      </c>
    </row>
    <row r="295" spans="1:8" ht="19.95" customHeight="1">
      <c r="A295" s="5" t="str">
        <f>IF($G295="","",INDEX('EDS Lookup'!$D$6:$D$2819,$G295))</f>
        <v/>
      </c>
      <c r="B295" s="5" t="str">
        <f>IF($G295="","",INDEX('EDS Lookup'!$B$6:$B$2819,$G295))</f>
        <v/>
      </c>
      <c r="C295" s="17"/>
      <c r="D295" s="6"/>
      <c r="E295" s="7" t="str">
        <f>IF($G295="","",INDEX('EDS Lookup'!$F$6:$F$2819,$G295))</f>
        <v/>
      </c>
      <c r="F295" s="8" t="str">
        <f>IF($G295="","",INDEX('EDS Lookup'!$G$6:$G$2819,$G295))</f>
        <v/>
      </c>
      <c r="G295" t="str">
        <f>IF(272&lt;=$B$4,IFERROR(MATCH(272,'EDS Lookup'!$H$6:$H$2819,0),""),"")</f>
        <v/>
      </c>
      <c r="H295" t="str">
        <f t="shared" si="4"/>
        <v/>
      </c>
    </row>
    <row r="296" spans="1:8" ht="19.95" customHeight="1">
      <c r="A296" s="5" t="str">
        <f>IF($G296="","",INDEX('EDS Lookup'!$D$6:$D$2819,$G296))</f>
        <v/>
      </c>
      <c r="B296" s="5" t="str">
        <f>IF($G296="","",INDEX('EDS Lookup'!$B$6:$B$2819,$G296))</f>
        <v/>
      </c>
      <c r="C296" s="17"/>
      <c r="D296" s="6"/>
      <c r="E296" s="7" t="str">
        <f>IF($G296="","",INDEX('EDS Lookup'!$F$6:$F$2819,$G296))</f>
        <v/>
      </c>
      <c r="F296" s="8" t="str">
        <f>IF($G296="","",INDEX('EDS Lookup'!$G$6:$G$2819,$G296))</f>
        <v/>
      </c>
      <c r="G296" t="str">
        <f>IF(273&lt;=$B$4,IFERROR(MATCH(273,'EDS Lookup'!$H$6:$H$2819,0),""),"")</f>
        <v/>
      </c>
      <c r="H296" t="str">
        <f t="shared" si="4"/>
        <v/>
      </c>
    </row>
    <row r="297" spans="1:8" ht="19.95" customHeight="1">
      <c r="A297" s="5" t="str">
        <f>IF($G297="","",INDEX('EDS Lookup'!$D$6:$D$2819,$G297))</f>
        <v/>
      </c>
      <c r="B297" s="5" t="str">
        <f>IF($G297="","",INDEX('EDS Lookup'!$B$6:$B$2819,$G297))</f>
        <v/>
      </c>
      <c r="C297" s="17"/>
      <c r="D297" s="6"/>
      <c r="E297" s="7" t="str">
        <f>IF($G297="","",INDEX('EDS Lookup'!$F$6:$F$2819,$G297))</f>
        <v/>
      </c>
      <c r="F297" s="8" t="str">
        <f>IF($G297="","",INDEX('EDS Lookup'!$G$6:$G$2819,$G297))</f>
        <v/>
      </c>
      <c r="G297" t="str">
        <f>IF(274&lt;=$B$4,IFERROR(MATCH(274,'EDS Lookup'!$H$6:$H$2819,0),""),"")</f>
        <v/>
      </c>
      <c r="H297" t="str">
        <f t="shared" si="4"/>
        <v/>
      </c>
    </row>
    <row r="298" spans="1:8" ht="19.95" customHeight="1">
      <c r="A298" s="5" t="str">
        <f>IF($G298="","",INDEX('EDS Lookup'!$D$6:$D$2819,$G298))</f>
        <v/>
      </c>
      <c r="B298" s="5" t="str">
        <f>IF($G298="","",INDEX('EDS Lookup'!$B$6:$B$2819,$G298))</f>
        <v/>
      </c>
      <c r="C298" s="17"/>
      <c r="D298" s="6"/>
      <c r="E298" s="7" t="str">
        <f>IF($G298="","",INDEX('EDS Lookup'!$F$6:$F$2819,$G298))</f>
        <v/>
      </c>
      <c r="F298" s="8" t="str">
        <f>IF($G298="","",INDEX('EDS Lookup'!$G$6:$G$2819,$G298))</f>
        <v/>
      </c>
      <c r="G298" t="str">
        <f>IF(275&lt;=$B$4,IFERROR(MATCH(275,'EDS Lookup'!$H$6:$H$2819,0),""),"")</f>
        <v/>
      </c>
      <c r="H298" t="str">
        <f t="shared" si="4"/>
        <v/>
      </c>
    </row>
    <row r="299" spans="1:8" ht="19.95" customHeight="1">
      <c r="A299" s="5" t="str">
        <f>IF($G299="","",INDEX('EDS Lookup'!$D$6:$D$2819,$G299))</f>
        <v/>
      </c>
      <c r="B299" s="5" t="str">
        <f>IF($G299="","",INDEX('EDS Lookup'!$B$6:$B$2819,$G299))</f>
        <v/>
      </c>
      <c r="C299" s="17"/>
      <c r="D299" s="6"/>
      <c r="E299" s="7" t="str">
        <f>IF($G299="","",INDEX('EDS Lookup'!$F$6:$F$2819,$G299))</f>
        <v/>
      </c>
      <c r="F299" s="8" t="str">
        <f>IF($G299="","",INDEX('EDS Lookup'!$G$6:$G$2819,$G299))</f>
        <v/>
      </c>
      <c r="G299" t="str">
        <f>IF(276&lt;=$B$4,IFERROR(MATCH(276,'EDS Lookup'!$H$6:$H$2819,0),""),"")</f>
        <v/>
      </c>
      <c r="H299" t="str">
        <f t="shared" si="4"/>
        <v/>
      </c>
    </row>
    <row r="300" spans="1:8" ht="19.95" customHeight="1">
      <c r="A300" s="5" t="str">
        <f>IF($G300="","",INDEX('EDS Lookup'!$D$6:$D$2819,$G300))</f>
        <v/>
      </c>
      <c r="B300" s="5" t="str">
        <f>IF($G300="","",INDEX('EDS Lookup'!$B$6:$B$2819,$G300))</f>
        <v/>
      </c>
      <c r="C300" s="17"/>
      <c r="D300" s="6"/>
      <c r="E300" s="7" t="str">
        <f>IF($G300="","",INDEX('EDS Lookup'!$F$6:$F$2819,$G300))</f>
        <v/>
      </c>
      <c r="F300" s="8" t="str">
        <f>IF($G300="","",INDEX('EDS Lookup'!$G$6:$G$2819,$G300))</f>
        <v/>
      </c>
      <c r="G300" t="str">
        <f>IF(277&lt;=$B$4,IFERROR(MATCH(277,'EDS Lookup'!$H$6:$H$2819,0),""),"")</f>
        <v/>
      </c>
      <c r="H300" t="str">
        <f t="shared" si="4"/>
        <v/>
      </c>
    </row>
    <row r="301" spans="1:8" ht="19.95" customHeight="1">
      <c r="A301" s="5" t="str">
        <f>IF($G301="","",INDEX('EDS Lookup'!$D$6:$D$2819,$G301))</f>
        <v/>
      </c>
      <c r="B301" s="5" t="str">
        <f>IF($G301="","",INDEX('EDS Lookup'!$B$6:$B$2819,$G301))</f>
        <v/>
      </c>
      <c r="C301" s="17"/>
      <c r="D301" s="6"/>
      <c r="E301" s="7" t="str">
        <f>IF($G301="","",INDEX('EDS Lookup'!$F$6:$F$2819,$G301))</f>
        <v/>
      </c>
      <c r="F301" s="8" t="str">
        <f>IF($G301="","",INDEX('EDS Lookup'!$G$6:$G$2819,$G301))</f>
        <v/>
      </c>
      <c r="G301" t="str">
        <f>IF(278&lt;=$B$4,IFERROR(MATCH(278,'EDS Lookup'!$H$6:$H$2819,0),""),"")</f>
        <v/>
      </c>
      <c r="H301" t="str">
        <f t="shared" si="4"/>
        <v/>
      </c>
    </row>
    <row r="302" spans="1:8" ht="19.95" customHeight="1">
      <c r="A302" s="5" t="str">
        <f>IF($G302="","",INDEX('EDS Lookup'!$D$6:$D$2819,$G302))</f>
        <v/>
      </c>
      <c r="B302" s="5" t="str">
        <f>IF($G302="","",INDEX('EDS Lookup'!$B$6:$B$2819,$G302))</f>
        <v/>
      </c>
      <c r="C302" s="17"/>
      <c r="D302" s="6"/>
      <c r="E302" s="7" t="str">
        <f>IF($G302="","",INDEX('EDS Lookup'!$F$6:$F$2819,$G302))</f>
        <v/>
      </c>
      <c r="F302" s="8" t="str">
        <f>IF($G302="","",INDEX('EDS Lookup'!$G$6:$G$2819,$G302))</f>
        <v/>
      </c>
      <c r="G302" t="str">
        <f>IF(279&lt;=$B$4,IFERROR(MATCH(279,'EDS Lookup'!$H$6:$H$2819,0),""),"")</f>
        <v/>
      </c>
      <c r="H302" t="str">
        <f t="shared" si="4"/>
        <v/>
      </c>
    </row>
    <row r="303" spans="1:8" ht="19.95" customHeight="1">
      <c r="A303" s="5" t="str">
        <f>IF($G303="","",INDEX('EDS Lookup'!$D$6:$D$2819,$G303))</f>
        <v/>
      </c>
      <c r="B303" s="5" t="str">
        <f>IF($G303="","",INDEX('EDS Lookup'!$B$6:$B$2819,$G303))</f>
        <v/>
      </c>
      <c r="C303" s="17"/>
      <c r="D303" s="6"/>
      <c r="E303" s="7" t="str">
        <f>IF($G303="","",INDEX('EDS Lookup'!$F$6:$F$2819,$G303))</f>
        <v/>
      </c>
      <c r="F303" s="8" t="str">
        <f>IF($G303="","",INDEX('EDS Lookup'!$G$6:$G$2819,$G303))</f>
        <v/>
      </c>
      <c r="G303" t="str">
        <f>IF(280&lt;=$B$4,IFERROR(MATCH(280,'EDS Lookup'!$H$6:$H$2819,0),""),"")</f>
        <v/>
      </c>
      <c r="H303" t="str">
        <f t="shared" si="4"/>
        <v/>
      </c>
    </row>
    <row r="304" spans="1:8" ht="19.95" customHeight="1">
      <c r="A304" s="5" t="str">
        <f>IF($G304="","",INDEX('EDS Lookup'!$D$6:$D$2819,$G304))</f>
        <v/>
      </c>
      <c r="B304" s="5" t="str">
        <f>IF($G304="","",INDEX('EDS Lookup'!$B$6:$B$2819,$G304))</f>
        <v/>
      </c>
      <c r="C304" s="17"/>
      <c r="D304" s="6"/>
      <c r="E304" s="7" t="str">
        <f>IF($G304="","",INDEX('EDS Lookup'!$F$6:$F$2819,$G304))</f>
        <v/>
      </c>
      <c r="F304" s="8" t="str">
        <f>IF($G304="","",INDEX('EDS Lookup'!$G$6:$G$2819,$G304))</f>
        <v/>
      </c>
      <c r="G304" t="str">
        <f>IF(281&lt;=$B$4,IFERROR(MATCH(281,'EDS Lookup'!$H$6:$H$2819,0),""),"")</f>
        <v/>
      </c>
      <c r="H304" t="str">
        <f t="shared" si="4"/>
        <v/>
      </c>
    </row>
    <row r="305" spans="1:8" ht="19.95" customHeight="1">
      <c r="A305" s="5" t="str">
        <f>IF($G305="","",INDEX('EDS Lookup'!$D$6:$D$2819,$G305))</f>
        <v/>
      </c>
      <c r="B305" s="5" t="str">
        <f>IF($G305="","",INDEX('EDS Lookup'!$B$6:$B$2819,$G305))</f>
        <v/>
      </c>
      <c r="C305" s="17"/>
      <c r="D305" s="6"/>
      <c r="E305" s="7" t="str">
        <f>IF($G305="","",INDEX('EDS Lookup'!$F$6:$F$2819,$G305))</f>
        <v/>
      </c>
      <c r="F305" s="8" t="str">
        <f>IF($G305="","",INDEX('EDS Lookup'!$G$6:$G$2819,$G305))</f>
        <v/>
      </c>
      <c r="G305" t="str">
        <f>IF(282&lt;=$B$4,IFERROR(MATCH(282,'EDS Lookup'!$H$6:$H$2819,0),""),"")</f>
        <v/>
      </c>
      <c r="H305" t="str">
        <f t="shared" si="4"/>
        <v/>
      </c>
    </row>
    <row r="306" spans="1:8" ht="19.95" customHeight="1">
      <c r="A306" s="5" t="str">
        <f>IF($G306="","",INDEX('EDS Lookup'!$D$6:$D$2819,$G306))</f>
        <v/>
      </c>
      <c r="B306" s="5" t="str">
        <f>IF($G306="","",INDEX('EDS Lookup'!$B$6:$B$2819,$G306))</f>
        <v/>
      </c>
      <c r="C306" s="17"/>
      <c r="D306" s="6"/>
      <c r="E306" s="7" t="str">
        <f>IF($G306="","",INDEX('EDS Lookup'!$F$6:$F$2819,$G306))</f>
        <v/>
      </c>
      <c r="F306" s="8" t="str">
        <f>IF($G306="","",INDEX('EDS Lookup'!$G$6:$G$2819,$G306))</f>
        <v/>
      </c>
      <c r="G306" t="str">
        <f>IF(283&lt;=$B$4,IFERROR(MATCH(283,'EDS Lookup'!$H$6:$H$2819,0),""),"")</f>
        <v/>
      </c>
      <c r="H306" t="str">
        <f t="shared" si="4"/>
        <v/>
      </c>
    </row>
    <row r="307" spans="1:8" ht="19.95" customHeight="1">
      <c r="A307" s="5" t="str">
        <f>IF($G307="","",INDEX('EDS Lookup'!$D$6:$D$2819,$G307))</f>
        <v/>
      </c>
      <c r="B307" s="5" t="str">
        <f>IF($G307="","",INDEX('EDS Lookup'!$B$6:$B$2819,$G307))</f>
        <v/>
      </c>
      <c r="C307" s="17"/>
      <c r="D307" s="6"/>
      <c r="E307" s="7" t="str">
        <f>IF($G307="","",INDEX('EDS Lookup'!$F$6:$F$2819,$G307))</f>
        <v/>
      </c>
      <c r="F307" s="8" t="str">
        <f>IF($G307="","",INDEX('EDS Lookup'!$G$6:$G$2819,$G307))</f>
        <v/>
      </c>
      <c r="G307" t="str">
        <f>IF(284&lt;=$B$4,IFERROR(MATCH(284,'EDS Lookup'!$H$6:$H$2819,0),""),"")</f>
        <v/>
      </c>
      <c r="H307" t="str">
        <f t="shared" si="4"/>
        <v/>
      </c>
    </row>
    <row r="308" spans="1:8" ht="19.95" customHeight="1">
      <c r="A308" s="5" t="str">
        <f>IF($G308="","",INDEX('EDS Lookup'!$D$6:$D$2819,$G308))</f>
        <v/>
      </c>
      <c r="B308" s="5" t="str">
        <f>IF($G308="","",INDEX('EDS Lookup'!$B$6:$B$2819,$G308))</f>
        <v/>
      </c>
      <c r="C308" s="17"/>
      <c r="D308" s="6"/>
      <c r="E308" s="7" t="str">
        <f>IF($G308="","",INDEX('EDS Lookup'!$F$6:$F$2819,$G308))</f>
        <v/>
      </c>
      <c r="F308" s="8" t="str">
        <f>IF($G308="","",INDEX('EDS Lookup'!$G$6:$G$2819,$G308))</f>
        <v/>
      </c>
      <c r="G308" t="str">
        <f>IF(285&lt;=$B$4,IFERROR(MATCH(285,'EDS Lookup'!$H$6:$H$2819,0),""),"")</f>
        <v/>
      </c>
      <c r="H308" t="str">
        <f t="shared" si="4"/>
        <v/>
      </c>
    </row>
    <row r="309" spans="1:8" ht="19.95" customHeight="1">
      <c r="A309" s="5" t="str">
        <f>IF($G309="","",INDEX('EDS Lookup'!$D$6:$D$2819,$G309))</f>
        <v/>
      </c>
      <c r="B309" s="5" t="str">
        <f>IF($G309="","",INDEX('EDS Lookup'!$B$6:$B$2819,$G309))</f>
        <v/>
      </c>
      <c r="C309" s="17"/>
      <c r="D309" s="6"/>
      <c r="E309" s="7" t="str">
        <f>IF($G309="","",INDEX('EDS Lookup'!$F$6:$F$2819,$G309))</f>
        <v/>
      </c>
      <c r="F309" s="8" t="str">
        <f>IF($G309="","",INDEX('EDS Lookup'!$G$6:$G$2819,$G309))</f>
        <v/>
      </c>
      <c r="G309" t="str">
        <f>IF(286&lt;=$B$4,IFERROR(MATCH(286,'EDS Lookup'!$H$6:$H$2819,0),""),"")</f>
        <v/>
      </c>
      <c r="H309" t="str">
        <f t="shared" si="4"/>
        <v/>
      </c>
    </row>
    <row r="310" spans="1:8" ht="19.95" customHeight="1">
      <c r="A310" s="5" t="str">
        <f>IF($G310="","",INDEX('EDS Lookup'!$D$6:$D$2819,$G310))</f>
        <v/>
      </c>
      <c r="B310" s="5" t="str">
        <f>IF($G310="","",INDEX('EDS Lookup'!$B$6:$B$2819,$G310))</f>
        <v/>
      </c>
      <c r="C310" s="17"/>
      <c r="D310" s="6"/>
      <c r="E310" s="7" t="str">
        <f>IF($G310="","",INDEX('EDS Lookup'!$F$6:$F$2819,$G310))</f>
        <v/>
      </c>
      <c r="F310" s="8" t="str">
        <f>IF($G310="","",INDEX('EDS Lookup'!$G$6:$G$2819,$G310))</f>
        <v/>
      </c>
      <c r="G310" t="str">
        <f>IF(287&lt;=$B$4,IFERROR(MATCH(287,'EDS Lookup'!$H$6:$H$2819,0),""),"")</f>
        <v/>
      </c>
      <c r="H310" t="str">
        <f t="shared" si="4"/>
        <v/>
      </c>
    </row>
    <row r="311" spans="1:8" ht="19.95" customHeight="1">
      <c r="A311" s="5" t="str">
        <f>IF($G311="","",INDEX('EDS Lookup'!$D$6:$D$2819,$G311))</f>
        <v/>
      </c>
      <c r="B311" s="5" t="str">
        <f>IF($G311="","",INDEX('EDS Lookup'!$B$6:$B$2819,$G311))</f>
        <v/>
      </c>
      <c r="C311" s="17"/>
      <c r="D311" s="6"/>
      <c r="E311" s="7" t="str">
        <f>IF($G311="","",INDEX('EDS Lookup'!$F$6:$F$2819,$G311))</f>
        <v/>
      </c>
      <c r="F311" s="8" t="str">
        <f>IF($G311="","",INDEX('EDS Lookup'!$G$6:$G$2819,$G311))</f>
        <v/>
      </c>
      <c r="G311" t="str">
        <f>IF(288&lt;=$B$4,IFERROR(MATCH(288,'EDS Lookup'!$H$6:$H$2819,0),""),"")</f>
        <v/>
      </c>
      <c r="H311" t="str">
        <f t="shared" si="4"/>
        <v/>
      </c>
    </row>
    <row r="312" spans="1:8" ht="19.95" customHeight="1">
      <c r="A312" s="5" t="str">
        <f>IF($G312="","",INDEX('EDS Lookup'!$D$6:$D$2819,$G312))</f>
        <v/>
      </c>
      <c r="B312" s="5" t="str">
        <f>IF($G312="","",INDEX('EDS Lookup'!$B$6:$B$2819,$G312))</f>
        <v/>
      </c>
      <c r="C312" s="17"/>
      <c r="D312" s="6"/>
      <c r="E312" s="7" t="str">
        <f>IF($G312="","",INDEX('EDS Lookup'!$F$6:$F$2819,$G312))</f>
        <v/>
      </c>
      <c r="F312" s="8" t="str">
        <f>IF($G312="","",INDEX('EDS Lookup'!$G$6:$G$2819,$G312))</f>
        <v/>
      </c>
      <c r="G312" t="str">
        <f>IF(289&lt;=$B$4,IFERROR(MATCH(289,'EDS Lookup'!$H$6:$H$2819,0),""),"")</f>
        <v/>
      </c>
      <c r="H312" t="str">
        <f t="shared" si="4"/>
        <v/>
      </c>
    </row>
    <row r="313" spans="1:8" ht="19.95" customHeight="1">
      <c r="A313" s="5" t="str">
        <f>IF($G313="","",INDEX('EDS Lookup'!$D$6:$D$2819,$G313))</f>
        <v/>
      </c>
      <c r="B313" s="5" t="str">
        <f>IF($G313="","",INDEX('EDS Lookup'!$B$6:$B$2819,$G313))</f>
        <v/>
      </c>
      <c r="C313" s="17"/>
      <c r="D313" s="6"/>
      <c r="E313" s="7" t="str">
        <f>IF($G313="","",INDEX('EDS Lookup'!$F$6:$F$2819,$G313))</f>
        <v/>
      </c>
      <c r="F313" s="8" t="str">
        <f>IF($G313="","",INDEX('EDS Lookup'!$G$6:$G$2819,$G313))</f>
        <v/>
      </c>
      <c r="G313" t="str">
        <f>IF(290&lt;=$B$4,IFERROR(MATCH(290,'EDS Lookup'!$H$6:$H$2819,0),""),"")</f>
        <v/>
      </c>
      <c r="H313" t="str">
        <f t="shared" si="4"/>
        <v/>
      </c>
    </row>
    <row r="314" spans="1:8" ht="19.95" customHeight="1">
      <c r="A314" s="5" t="str">
        <f>IF($G314="","",INDEX('EDS Lookup'!$D$6:$D$2819,$G314))</f>
        <v/>
      </c>
      <c r="B314" s="5" t="str">
        <f>IF($G314="","",INDEX('EDS Lookup'!$B$6:$B$2819,$G314))</f>
        <v/>
      </c>
      <c r="C314" s="17"/>
      <c r="D314" s="6"/>
      <c r="E314" s="7" t="str">
        <f>IF($G314="","",INDEX('EDS Lookup'!$F$6:$F$2819,$G314))</f>
        <v/>
      </c>
      <c r="F314" s="8" t="str">
        <f>IF($G314="","",INDEX('EDS Lookup'!$G$6:$G$2819,$G314))</f>
        <v/>
      </c>
      <c r="G314" t="str">
        <f>IF(291&lt;=$B$4,IFERROR(MATCH(291,'EDS Lookup'!$H$6:$H$2819,0),""),"")</f>
        <v/>
      </c>
      <c r="H314" t="str">
        <f t="shared" si="4"/>
        <v/>
      </c>
    </row>
    <row r="315" spans="1:8" ht="19.95" customHeight="1">
      <c r="A315" s="5" t="str">
        <f>IF($G315="","",INDEX('EDS Lookup'!$D$6:$D$2819,$G315))</f>
        <v/>
      </c>
      <c r="B315" s="5" t="str">
        <f>IF($G315="","",INDEX('EDS Lookup'!$B$6:$B$2819,$G315))</f>
        <v/>
      </c>
      <c r="C315" s="17"/>
      <c r="D315" s="6"/>
      <c r="E315" s="7" t="str">
        <f>IF($G315="","",INDEX('EDS Lookup'!$F$6:$F$2819,$G315))</f>
        <v/>
      </c>
      <c r="F315" s="8" t="str">
        <f>IF($G315="","",INDEX('EDS Lookup'!$G$6:$G$2819,$G315))</f>
        <v/>
      </c>
      <c r="G315" t="str">
        <f>IF(292&lt;=$B$4,IFERROR(MATCH(292,'EDS Lookup'!$H$6:$H$2819,0),""),"")</f>
        <v/>
      </c>
      <c r="H315" t="str">
        <f t="shared" si="4"/>
        <v/>
      </c>
    </row>
    <row r="316" spans="1:8" ht="19.95" customHeight="1">
      <c r="A316" s="5" t="str">
        <f>IF($G316="","",INDEX('EDS Lookup'!$D$6:$D$2819,$G316))</f>
        <v/>
      </c>
      <c r="B316" s="5" t="str">
        <f>IF($G316="","",INDEX('EDS Lookup'!$B$6:$B$2819,$G316))</f>
        <v/>
      </c>
      <c r="C316" s="17"/>
      <c r="D316" s="6"/>
      <c r="E316" s="7" t="str">
        <f>IF($G316="","",INDEX('EDS Lookup'!$F$6:$F$2819,$G316))</f>
        <v/>
      </c>
      <c r="F316" s="8" t="str">
        <f>IF($G316="","",INDEX('EDS Lookup'!$G$6:$G$2819,$G316))</f>
        <v/>
      </c>
      <c r="G316" t="str">
        <f>IF(293&lt;=$B$4,IFERROR(MATCH(293,'EDS Lookup'!$H$6:$H$2819,0),""),"")</f>
        <v/>
      </c>
      <c r="H316" t="str">
        <f t="shared" si="4"/>
        <v/>
      </c>
    </row>
    <row r="317" spans="1:8" ht="19.95" customHeight="1">
      <c r="A317" s="5" t="str">
        <f>IF($G317="","",INDEX('EDS Lookup'!$D$6:$D$2819,$G317))</f>
        <v/>
      </c>
      <c r="B317" s="5" t="str">
        <f>IF($G317="","",INDEX('EDS Lookup'!$B$6:$B$2819,$G317))</f>
        <v/>
      </c>
      <c r="C317" s="17"/>
      <c r="D317" s="6"/>
      <c r="E317" s="7" t="str">
        <f>IF($G317="","",INDEX('EDS Lookup'!$F$6:$F$2819,$G317))</f>
        <v/>
      </c>
      <c r="F317" s="8" t="str">
        <f>IF($G317="","",INDEX('EDS Lookup'!$G$6:$G$2819,$G317))</f>
        <v/>
      </c>
      <c r="G317" t="str">
        <f>IF(294&lt;=$B$4,IFERROR(MATCH(294,'EDS Lookup'!$H$6:$H$2819,0),""),"")</f>
        <v/>
      </c>
      <c r="H317" t="str">
        <f t="shared" si="4"/>
        <v/>
      </c>
    </row>
    <row r="318" spans="1:8" ht="19.95" customHeight="1">
      <c r="A318" s="5" t="str">
        <f>IF($G318="","",INDEX('EDS Lookup'!$D$6:$D$2819,$G318))</f>
        <v/>
      </c>
      <c r="B318" s="5" t="str">
        <f>IF($G318="","",INDEX('EDS Lookup'!$B$6:$B$2819,$G318))</f>
        <v/>
      </c>
      <c r="C318" s="17"/>
      <c r="D318" s="6"/>
      <c r="E318" s="7" t="str">
        <f>IF($G318="","",INDEX('EDS Lookup'!$F$6:$F$2819,$G318))</f>
        <v/>
      </c>
      <c r="F318" s="8" t="str">
        <f>IF($G318="","",INDEX('EDS Lookup'!$G$6:$G$2819,$G318))</f>
        <v/>
      </c>
      <c r="G318" t="str">
        <f>IF(295&lt;=$B$4,IFERROR(MATCH(295,'EDS Lookup'!$H$6:$H$2819,0),""),"")</f>
        <v/>
      </c>
      <c r="H318" t="str">
        <f t="shared" si="4"/>
        <v/>
      </c>
    </row>
    <row r="319" spans="1:8" ht="19.95" customHeight="1">
      <c r="A319" s="5" t="str">
        <f>IF($G319="","",INDEX('EDS Lookup'!$D$6:$D$2819,$G319))</f>
        <v/>
      </c>
      <c r="B319" s="5" t="str">
        <f>IF($G319="","",INDEX('EDS Lookup'!$B$6:$B$2819,$G319))</f>
        <v/>
      </c>
      <c r="C319" s="17"/>
      <c r="D319" s="6"/>
      <c r="E319" s="7" t="str">
        <f>IF($G319="","",INDEX('EDS Lookup'!$F$6:$F$2819,$G319))</f>
        <v/>
      </c>
      <c r="F319" s="8" t="str">
        <f>IF($G319="","",INDEX('EDS Lookup'!$G$6:$G$2819,$G319))</f>
        <v/>
      </c>
      <c r="G319" t="str">
        <f>IF(296&lt;=$B$4,IFERROR(MATCH(296,'EDS Lookup'!$H$6:$H$2819,0),""),"")</f>
        <v/>
      </c>
      <c r="H319" t="str">
        <f t="shared" si="4"/>
        <v/>
      </c>
    </row>
    <row r="320" spans="1:8" ht="19.95" customHeight="1">
      <c r="A320" s="5" t="str">
        <f>IF($G320="","",INDEX('EDS Lookup'!$D$6:$D$2819,$G320))</f>
        <v/>
      </c>
      <c r="B320" s="5" t="str">
        <f>IF($G320="","",INDEX('EDS Lookup'!$B$6:$B$2819,$G320))</f>
        <v/>
      </c>
      <c r="C320" s="17"/>
      <c r="D320" s="6"/>
      <c r="E320" s="7" t="str">
        <f>IF($G320="","",INDEX('EDS Lookup'!$F$6:$F$2819,$G320))</f>
        <v/>
      </c>
      <c r="F320" s="8" t="str">
        <f>IF($G320="","",INDEX('EDS Lookup'!$G$6:$G$2819,$G320))</f>
        <v/>
      </c>
      <c r="G320" t="str">
        <f>IF(297&lt;=$B$4,IFERROR(MATCH(297,'EDS Lookup'!$H$6:$H$2819,0),""),"")</f>
        <v/>
      </c>
      <c r="H320" t="str">
        <f t="shared" si="4"/>
        <v/>
      </c>
    </row>
    <row r="321" spans="1:8" ht="19.95" customHeight="1">
      <c r="A321" s="5" t="str">
        <f>IF($G321="","",INDEX('EDS Lookup'!$D$6:$D$2819,$G321))</f>
        <v/>
      </c>
      <c r="B321" s="5" t="str">
        <f>IF($G321="","",INDEX('EDS Lookup'!$B$6:$B$2819,$G321))</f>
        <v/>
      </c>
      <c r="C321" s="17"/>
      <c r="D321" s="6"/>
      <c r="E321" s="7" t="str">
        <f>IF($G321="","",INDEX('EDS Lookup'!$F$6:$F$2819,$G321))</f>
        <v/>
      </c>
      <c r="F321" s="8" t="str">
        <f>IF($G321="","",INDEX('EDS Lookup'!$G$6:$G$2819,$G321))</f>
        <v/>
      </c>
      <c r="G321" t="str">
        <f>IF(298&lt;=$B$4,IFERROR(MATCH(298,'EDS Lookup'!$H$6:$H$2819,0),""),"")</f>
        <v/>
      </c>
      <c r="H321" t="str">
        <f t="shared" si="4"/>
        <v/>
      </c>
    </row>
    <row r="322" spans="1:8" ht="19.95" customHeight="1">
      <c r="A322" s="5" t="str">
        <f>IF($G322="","",INDEX('EDS Lookup'!$D$6:$D$2819,$G322))</f>
        <v/>
      </c>
      <c r="B322" s="5" t="str">
        <f>IF($G322="","",INDEX('EDS Lookup'!$B$6:$B$2819,$G322))</f>
        <v/>
      </c>
      <c r="C322" s="17"/>
      <c r="D322" s="6"/>
      <c r="E322" s="7" t="str">
        <f>IF($G322="","",INDEX('EDS Lookup'!$F$6:$F$2819,$G322))</f>
        <v/>
      </c>
      <c r="F322" s="8" t="str">
        <f>IF($G322="","",INDEX('EDS Lookup'!$G$6:$G$2819,$G322))</f>
        <v/>
      </c>
      <c r="G322" t="str">
        <f>IF(299&lt;=$B$4,IFERROR(MATCH(299,'EDS Lookup'!$H$6:$H$2819,0),""),"")</f>
        <v/>
      </c>
      <c r="H322" t="str">
        <f t="shared" si="4"/>
        <v/>
      </c>
    </row>
    <row r="323" spans="1:8" ht="19.95" customHeight="1">
      <c r="A323" s="5" t="str">
        <f>IF($G323="","",INDEX('EDS Lookup'!$D$6:$D$2819,$G323))</f>
        <v/>
      </c>
      <c r="B323" s="5" t="str">
        <f>IF($G323="","",INDEX('EDS Lookup'!$B$6:$B$2819,$G323))</f>
        <v/>
      </c>
      <c r="C323" s="17"/>
      <c r="D323" s="6"/>
      <c r="E323" s="7" t="str">
        <f>IF($G323="","",INDEX('EDS Lookup'!$F$6:$F$2819,$G323))</f>
        <v/>
      </c>
      <c r="F323" s="8" t="str">
        <f>IF($G323="","",INDEX('EDS Lookup'!$G$6:$G$2819,$G323))</f>
        <v/>
      </c>
      <c r="G323" t="str">
        <f>IF(300&lt;=$B$4,IFERROR(MATCH(300,'EDS Lookup'!$H$6:$H$2819,0),""),"")</f>
        <v/>
      </c>
      <c r="H323" t="str">
        <f t="shared" si="4"/>
        <v/>
      </c>
    </row>
    <row r="324" spans="1:8" ht="19.95" customHeight="1">
      <c r="A324" s="5" t="str">
        <f>IF($G324="","",INDEX('EDS Lookup'!$D$6:$D$2819,$G324))</f>
        <v/>
      </c>
      <c r="B324" s="5" t="str">
        <f>IF($G324="","",INDEX('EDS Lookup'!$B$6:$B$2819,$G324))</f>
        <v/>
      </c>
      <c r="C324" s="17"/>
      <c r="D324" s="6"/>
      <c r="E324" s="7" t="str">
        <f>IF($G324="","",INDEX('EDS Lookup'!$F$6:$F$2819,$G324))</f>
        <v/>
      </c>
      <c r="F324" s="8" t="str">
        <f>IF($G324="","",INDEX('EDS Lookup'!$G$6:$G$2819,$G324))</f>
        <v/>
      </c>
      <c r="G324" t="str">
        <f>IF(301&lt;=$B$4,IFERROR(MATCH(301,'EDS Lookup'!$H$6:$H$2819,0),""),"")</f>
        <v/>
      </c>
      <c r="H324" t="str">
        <f t="shared" si="4"/>
        <v/>
      </c>
    </row>
    <row r="325" spans="1:8" ht="19.95" customHeight="1">
      <c r="A325" s="5" t="str">
        <f>IF($G325="","",INDEX('EDS Lookup'!$D$6:$D$2819,$G325))</f>
        <v/>
      </c>
      <c r="B325" s="5" t="str">
        <f>IF($G325="","",INDEX('EDS Lookup'!$B$6:$B$2819,$G325))</f>
        <v/>
      </c>
      <c r="C325" s="17"/>
      <c r="D325" s="6"/>
      <c r="E325" s="7" t="str">
        <f>IF($G325="","",INDEX('EDS Lookup'!$F$6:$F$2819,$G325))</f>
        <v/>
      </c>
      <c r="F325" s="8" t="str">
        <f>IF($G325="","",INDEX('EDS Lookup'!$G$6:$G$2819,$G325))</f>
        <v/>
      </c>
      <c r="G325" t="str">
        <f>IF(302&lt;=$B$4,IFERROR(MATCH(302,'EDS Lookup'!$H$6:$H$2819,0),""),"")</f>
        <v/>
      </c>
      <c r="H325" t="str">
        <f t="shared" si="4"/>
        <v/>
      </c>
    </row>
    <row r="326" spans="1:8" ht="19.95" customHeight="1">
      <c r="A326" s="5" t="str">
        <f>IF($G326="","",INDEX('EDS Lookup'!$D$6:$D$2819,$G326))</f>
        <v/>
      </c>
      <c r="B326" s="5" t="str">
        <f>IF($G326="","",INDEX('EDS Lookup'!$B$6:$B$2819,$G326))</f>
        <v/>
      </c>
      <c r="C326" s="17"/>
      <c r="D326" s="6"/>
      <c r="E326" s="7" t="str">
        <f>IF($G326="","",INDEX('EDS Lookup'!$F$6:$F$2819,$G326))</f>
        <v/>
      </c>
      <c r="F326" s="8" t="str">
        <f>IF($G326="","",INDEX('EDS Lookup'!$G$6:$G$2819,$G326))</f>
        <v/>
      </c>
      <c r="G326" t="str">
        <f>IF(303&lt;=$B$4,IFERROR(MATCH(303,'EDS Lookup'!$H$6:$H$2819,0),""),"")</f>
        <v/>
      </c>
      <c r="H326" t="str">
        <f t="shared" si="4"/>
        <v/>
      </c>
    </row>
    <row r="327" spans="1:8" ht="19.95" customHeight="1">
      <c r="A327" s="5" t="str">
        <f>IF($G327="","",INDEX('EDS Lookup'!$D$6:$D$2819,$G327))</f>
        <v/>
      </c>
      <c r="B327" s="5" t="str">
        <f>IF($G327="","",INDEX('EDS Lookup'!$B$6:$B$2819,$G327))</f>
        <v/>
      </c>
      <c r="C327" s="17"/>
      <c r="D327" s="6"/>
      <c r="E327" s="7" t="str">
        <f>IF($G327="","",INDEX('EDS Lookup'!$F$6:$F$2819,$G327))</f>
        <v/>
      </c>
      <c r="F327" s="8" t="str">
        <f>IF($G327="","",INDEX('EDS Lookup'!$G$6:$G$2819,$G327))</f>
        <v/>
      </c>
      <c r="G327" t="str">
        <f>IF(304&lt;=$B$4,IFERROR(MATCH(304,'EDS Lookup'!$H$6:$H$2819,0),""),"")</f>
        <v/>
      </c>
      <c r="H327" t="str">
        <f t="shared" si="4"/>
        <v/>
      </c>
    </row>
    <row r="328" spans="1:8" ht="19.95" customHeight="1">
      <c r="A328" s="5" t="str">
        <f>IF($G328="","",INDEX('EDS Lookup'!$D$6:$D$2819,$G328))</f>
        <v/>
      </c>
      <c r="B328" s="5" t="str">
        <f>IF($G328="","",INDEX('EDS Lookup'!$B$6:$B$2819,$G328))</f>
        <v/>
      </c>
      <c r="C328" s="17"/>
      <c r="D328" s="6"/>
      <c r="E328" s="7" t="str">
        <f>IF($G328="","",INDEX('EDS Lookup'!$F$6:$F$2819,$G328))</f>
        <v/>
      </c>
      <c r="F328" s="8" t="str">
        <f>IF($G328="","",INDEX('EDS Lookup'!$G$6:$G$2819,$G328))</f>
        <v/>
      </c>
      <c r="G328" t="str">
        <f>IF(305&lt;=$B$4,IFERROR(MATCH(305,'EDS Lookup'!$H$6:$H$2819,0),""),"")</f>
        <v/>
      </c>
      <c r="H328" t="str">
        <f t="shared" si="4"/>
        <v/>
      </c>
    </row>
    <row r="329" spans="1:8" ht="19.95" customHeight="1">
      <c r="A329" s="5" t="str">
        <f>IF($G329="","",INDEX('EDS Lookup'!$D$6:$D$2819,$G329))</f>
        <v/>
      </c>
      <c r="B329" s="5" t="str">
        <f>IF($G329="","",INDEX('EDS Lookup'!$B$6:$B$2819,$G329))</f>
        <v/>
      </c>
      <c r="C329" s="17"/>
      <c r="D329" s="6"/>
      <c r="E329" s="7" t="str">
        <f>IF($G329="","",INDEX('EDS Lookup'!$F$6:$F$2819,$G329))</f>
        <v/>
      </c>
      <c r="F329" s="8" t="str">
        <f>IF($G329="","",INDEX('EDS Lookup'!$G$6:$G$2819,$G329))</f>
        <v/>
      </c>
      <c r="G329" t="str">
        <f>IF(306&lt;=$B$4,IFERROR(MATCH(306,'EDS Lookup'!$H$6:$H$2819,0),""),"")</f>
        <v/>
      </c>
      <c r="H329" t="str">
        <f t="shared" si="4"/>
        <v/>
      </c>
    </row>
    <row r="330" spans="1:8" ht="19.95" customHeight="1">
      <c r="A330" s="5" t="str">
        <f>IF($G330="","",INDEX('EDS Lookup'!$D$6:$D$2819,$G330))</f>
        <v/>
      </c>
      <c r="B330" s="5" t="str">
        <f>IF($G330="","",INDEX('EDS Lookup'!$B$6:$B$2819,$G330))</f>
        <v/>
      </c>
      <c r="C330" s="17"/>
      <c r="D330" s="6"/>
      <c r="E330" s="7" t="str">
        <f>IF($G330="","",INDEX('EDS Lookup'!$F$6:$F$2819,$G330))</f>
        <v/>
      </c>
      <c r="F330" s="8" t="str">
        <f>IF($G330="","",INDEX('EDS Lookup'!$G$6:$G$2819,$G330))</f>
        <v/>
      </c>
      <c r="G330" t="str">
        <f>IF(307&lt;=$B$4,IFERROR(MATCH(307,'EDS Lookup'!$H$6:$H$2819,0),""),"")</f>
        <v/>
      </c>
      <c r="H330" t="str">
        <f t="shared" si="4"/>
        <v/>
      </c>
    </row>
    <row r="331" spans="1:8" ht="19.95" customHeight="1">
      <c r="A331" s="5" t="str">
        <f>IF($G331="","",INDEX('EDS Lookup'!$D$6:$D$2819,$G331))</f>
        <v/>
      </c>
      <c r="B331" s="5" t="str">
        <f>IF($G331="","",INDEX('EDS Lookup'!$B$6:$B$2819,$G331))</f>
        <v/>
      </c>
      <c r="C331" s="17"/>
      <c r="D331" s="6"/>
      <c r="E331" s="7" t="str">
        <f>IF($G331="","",INDEX('EDS Lookup'!$F$6:$F$2819,$G331))</f>
        <v/>
      </c>
      <c r="F331" s="8" t="str">
        <f>IF($G331="","",INDEX('EDS Lookup'!$G$6:$G$2819,$G331))</f>
        <v/>
      </c>
      <c r="G331" t="str">
        <f>IF(308&lt;=$B$4,IFERROR(MATCH(308,'EDS Lookup'!$H$6:$H$2819,0),""),"")</f>
        <v/>
      </c>
      <c r="H331" t="str">
        <f t="shared" si="4"/>
        <v/>
      </c>
    </row>
    <row r="332" spans="1:8" ht="19.95" customHeight="1">
      <c r="A332" s="5" t="str">
        <f>IF($G332="","",INDEX('EDS Lookup'!$D$6:$D$2819,$G332))</f>
        <v/>
      </c>
      <c r="B332" s="5" t="str">
        <f>IF($G332="","",INDEX('EDS Lookup'!$B$6:$B$2819,$G332))</f>
        <v/>
      </c>
      <c r="C332" s="17"/>
      <c r="D332" s="6"/>
      <c r="E332" s="7" t="str">
        <f>IF($G332="","",INDEX('EDS Lookup'!$F$6:$F$2819,$G332))</f>
        <v/>
      </c>
      <c r="F332" s="8" t="str">
        <f>IF($G332="","",INDEX('EDS Lookup'!$G$6:$G$2819,$G332))</f>
        <v/>
      </c>
      <c r="G332" t="str">
        <f>IF(309&lt;=$B$4,IFERROR(MATCH(309,'EDS Lookup'!$H$6:$H$2819,0),""),"")</f>
        <v/>
      </c>
      <c r="H332" t="str">
        <f t="shared" si="4"/>
        <v/>
      </c>
    </row>
    <row r="333" spans="1:8" ht="19.95" customHeight="1">
      <c r="A333" s="5" t="str">
        <f>IF($G333="","",INDEX('EDS Lookup'!$D$6:$D$2819,$G333))</f>
        <v/>
      </c>
      <c r="B333" s="5" t="str">
        <f>IF($G333="","",INDEX('EDS Lookup'!$B$6:$B$2819,$G333))</f>
        <v/>
      </c>
      <c r="C333" s="17"/>
      <c r="D333" s="6"/>
      <c r="E333" s="7" t="str">
        <f>IF($G333="","",INDEX('EDS Lookup'!$F$6:$F$2819,$G333))</f>
        <v/>
      </c>
      <c r="F333" s="8" t="str">
        <f>IF($G333="","",INDEX('EDS Lookup'!$G$6:$G$2819,$G333))</f>
        <v/>
      </c>
      <c r="G333" t="str">
        <f>IF(310&lt;=$B$4,IFERROR(MATCH(310,'EDS Lookup'!$H$6:$H$2819,0),""),"")</f>
        <v/>
      </c>
      <c r="H333" t="str">
        <f t="shared" si="4"/>
        <v/>
      </c>
    </row>
    <row r="334" spans="1:8" ht="19.95" customHeight="1">
      <c r="A334" s="5" t="str">
        <f>IF($G334="","",INDEX('EDS Lookup'!$D$6:$D$2819,$G334))</f>
        <v/>
      </c>
      <c r="B334" s="5" t="str">
        <f>IF($G334="","",INDEX('EDS Lookup'!$B$6:$B$2819,$G334))</f>
        <v/>
      </c>
      <c r="C334" s="17"/>
      <c r="D334" s="6"/>
      <c r="E334" s="7" t="str">
        <f>IF($G334="","",INDEX('EDS Lookup'!$F$6:$F$2819,$G334))</f>
        <v/>
      </c>
      <c r="F334" s="8" t="str">
        <f>IF($G334="","",INDEX('EDS Lookup'!$G$6:$G$2819,$G334))</f>
        <v/>
      </c>
      <c r="G334" t="str">
        <f>IF(311&lt;=$B$4,IFERROR(MATCH(311,'EDS Lookup'!$H$6:$H$2819,0),""),"")</f>
        <v/>
      </c>
      <c r="H334" t="str">
        <f t="shared" si="4"/>
        <v/>
      </c>
    </row>
    <row r="335" spans="1:8" ht="19.95" customHeight="1">
      <c r="A335" s="5" t="str">
        <f>IF($G335="","",INDEX('EDS Lookup'!$D$6:$D$2819,$G335))</f>
        <v/>
      </c>
      <c r="B335" s="5" t="str">
        <f>IF($G335="","",INDEX('EDS Lookup'!$B$6:$B$2819,$G335))</f>
        <v/>
      </c>
      <c r="C335" s="17"/>
      <c r="D335" s="6"/>
      <c r="E335" s="7" t="str">
        <f>IF($G335="","",INDEX('EDS Lookup'!$F$6:$F$2819,$G335))</f>
        <v/>
      </c>
      <c r="F335" s="8" t="str">
        <f>IF($G335="","",INDEX('EDS Lookup'!$G$6:$G$2819,$G335))</f>
        <v/>
      </c>
      <c r="G335" t="str">
        <f>IF(312&lt;=$B$4,IFERROR(MATCH(312,'EDS Lookup'!$H$6:$H$2819,0),""),"")</f>
        <v/>
      </c>
      <c r="H335" t="str">
        <f t="shared" si="4"/>
        <v/>
      </c>
    </row>
    <row r="336" spans="1:8" ht="19.95" customHeight="1">
      <c r="A336" s="5" t="str">
        <f>IF($G336="","",INDEX('EDS Lookup'!$D$6:$D$2819,$G336))</f>
        <v/>
      </c>
      <c r="B336" s="5" t="str">
        <f>IF($G336="","",INDEX('EDS Lookup'!$B$6:$B$2819,$G336))</f>
        <v/>
      </c>
      <c r="C336" s="17"/>
      <c r="D336" s="6"/>
      <c r="E336" s="7" t="str">
        <f>IF($G336="","",INDEX('EDS Lookup'!$F$6:$F$2819,$G336))</f>
        <v/>
      </c>
      <c r="F336" s="8" t="str">
        <f>IF($G336="","",INDEX('EDS Lookup'!$G$6:$G$2819,$G336))</f>
        <v/>
      </c>
      <c r="G336" t="str">
        <f>IF(313&lt;=$B$4,IFERROR(MATCH(313,'EDS Lookup'!$H$6:$H$2819,0),""),"")</f>
        <v/>
      </c>
      <c r="H336" t="str">
        <f t="shared" si="4"/>
        <v/>
      </c>
    </row>
    <row r="337" spans="1:8" ht="19.95" customHeight="1">
      <c r="A337" s="5" t="str">
        <f>IF($G337="","",INDEX('EDS Lookup'!$D$6:$D$2819,$G337))</f>
        <v/>
      </c>
      <c r="B337" s="5" t="str">
        <f>IF($G337="","",INDEX('EDS Lookup'!$B$6:$B$2819,$G337))</f>
        <v/>
      </c>
      <c r="C337" s="17"/>
      <c r="D337" s="6"/>
      <c r="E337" s="7" t="str">
        <f>IF($G337="","",INDEX('EDS Lookup'!$F$6:$F$2819,$G337))</f>
        <v/>
      </c>
      <c r="F337" s="8" t="str">
        <f>IF($G337="","",INDEX('EDS Lookup'!$G$6:$G$2819,$G337))</f>
        <v/>
      </c>
      <c r="G337" t="str">
        <f>IF(314&lt;=$B$4,IFERROR(MATCH(314,'EDS Lookup'!$H$6:$H$2819,0),""),"")</f>
        <v/>
      </c>
      <c r="H337" t="str">
        <f t="shared" si="4"/>
        <v/>
      </c>
    </row>
    <row r="338" spans="1:8" ht="19.95" customHeight="1">
      <c r="A338" s="5" t="str">
        <f>IF($G338="","",INDEX('EDS Lookup'!$D$6:$D$2819,$G338))</f>
        <v/>
      </c>
      <c r="B338" s="5" t="str">
        <f>IF($G338="","",INDEX('EDS Lookup'!$B$6:$B$2819,$G338))</f>
        <v/>
      </c>
      <c r="C338" s="17"/>
      <c r="D338" s="6"/>
      <c r="E338" s="7" t="str">
        <f>IF($G338="","",INDEX('EDS Lookup'!$F$6:$F$2819,$G338))</f>
        <v/>
      </c>
      <c r="F338" s="8" t="str">
        <f>IF($G338="","",INDEX('EDS Lookup'!$G$6:$G$2819,$G338))</f>
        <v/>
      </c>
      <c r="G338" t="str">
        <f>IF(315&lt;=$B$4,IFERROR(MATCH(315,'EDS Lookup'!$H$6:$H$2819,0),""),"")</f>
        <v/>
      </c>
      <c r="H338" t="str">
        <f t="shared" si="4"/>
        <v/>
      </c>
    </row>
    <row r="339" spans="1:8" ht="19.95" customHeight="1">
      <c r="A339" s="5" t="str">
        <f>IF($G339="","",INDEX('EDS Lookup'!$D$6:$D$2819,$G339))</f>
        <v/>
      </c>
      <c r="B339" s="5" t="str">
        <f>IF($G339="","",INDEX('EDS Lookup'!$B$6:$B$2819,$G339))</f>
        <v/>
      </c>
      <c r="C339" s="17"/>
      <c r="D339" s="6"/>
      <c r="E339" s="7" t="str">
        <f>IF($G339="","",INDEX('EDS Lookup'!$F$6:$F$2819,$G339))</f>
        <v/>
      </c>
      <c r="F339" s="8" t="str">
        <f>IF($G339="","",INDEX('EDS Lookup'!$G$6:$G$2819,$G339))</f>
        <v/>
      </c>
      <c r="G339" t="str">
        <f>IF(316&lt;=$B$4,IFERROR(MATCH(316,'EDS Lookup'!$H$6:$H$2819,0),""),"")</f>
        <v/>
      </c>
      <c r="H339" t="str">
        <f t="shared" si="4"/>
        <v/>
      </c>
    </row>
    <row r="340" spans="1:8" ht="19.95" customHeight="1">
      <c r="A340" s="5" t="str">
        <f>IF($G340="","",INDEX('EDS Lookup'!$D$6:$D$2819,$G340))</f>
        <v/>
      </c>
      <c r="B340" s="5" t="str">
        <f>IF($G340="","",INDEX('EDS Lookup'!$B$6:$B$2819,$G340))</f>
        <v/>
      </c>
      <c r="C340" s="17"/>
      <c r="D340" s="6"/>
      <c r="E340" s="7" t="str">
        <f>IF($G340="","",INDEX('EDS Lookup'!$F$6:$F$2819,$G340))</f>
        <v/>
      </c>
      <c r="F340" s="8" t="str">
        <f>IF($G340="","",INDEX('EDS Lookup'!$G$6:$G$2819,$G340))</f>
        <v/>
      </c>
      <c r="G340" t="str">
        <f>IF(317&lt;=$B$4,IFERROR(MATCH(317,'EDS Lookup'!$H$6:$H$2819,0),""),"")</f>
        <v/>
      </c>
      <c r="H340" t="str">
        <f t="shared" si="4"/>
        <v/>
      </c>
    </row>
    <row r="341" spans="1:8" ht="19.95" customHeight="1">
      <c r="A341" s="5" t="str">
        <f>IF($G341="","",INDEX('EDS Lookup'!$D$6:$D$2819,$G341))</f>
        <v/>
      </c>
      <c r="B341" s="5" t="str">
        <f>IF($G341="","",INDEX('EDS Lookup'!$B$6:$B$2819,$G341))</f>
        <v/>
      </c>
      <c r="C341" s="17"/>
      <c r="D341" s="6"/>
      <c r="E341" s="7" t="str">
        <f>IF($G341="","",INDEX('EDS Lookup'!$F$6:$F$2819,$G341))</f>
        <v/>
      </c>
      <c r="F341" s="8" t="str">
        <f>IF($G341="","",INDEX('EDS Lookup'!$G$6:$G$2819,$G341))</f>
        <v/>
      </c>
      <c r="G341" t="str">
        <f>IF(318&lt;=$B$4,IFERROR(MATCH(318,'EDS Lookup'!$H$6:$H$2819,0),""),"")</f>
        <v/>
      </c>
      <c r="H341" t="str">
        <f t="shared" si="4"/>
        <v/>
      </c>
    </row>
    <row r="342" spans="1:8" ht="19.95" customHeight="1">
      <c r="A342" s="5" t="str">
        <f>IF($G342="","",INDEX('EDS Lookup'!$D$6:$D$2819,$G342))</f>
        <v/>
      </c>
      <c r="B342" s="5" t="str">
        <f>IF($G342="","",INDEX('EDS Lookup'!$B$6:$B$2819,$G342))</f>
        <v/>
      </c>
      <c r="C342" s="17"/>
      <c r="D342" s="6"/>
      <c r="E342" s="7" t="str">
        <f>IF($G342="","",INDEX('EDS Lookup'!$F$6:$F$2819,$G342))</f>
        <v/>
      </c>
      <c r="F342" s="8" t="str">
        <f>IF($G342="","",INDEX('EDS Lookup'!$G$6:$G$2819,$G342))</f>
        <v/>
      </c>
      <c r="G342" t="str">
        <f>IF(319&lt;=$B$4,IFERROR(MATCH(319,'EDS Lookup'!$H$6:$H$2819,0),""),"")</f>
        <v/>
      </c>
      <c r="H342" t="str">
        <f t="shared" si="4"/>
        <v/>
      </c>
    </row>
    <row r="343" spans="1:8" ht="19.95" customHeight="1">
      <c r="A343" s="5" t="str">
        <f>IF($G343="","",INDEX('EDS Lookup'!$D$6:$D$2819,$G343))</f>
        <v/>
      </c>
      <c r="B343" s="5" t="str">
        <f>IF($G343="","",INDEX('EDS Lookup'!$B$6:$B$2819,$G343))</f>
        <v/>
      </c>
      <c r="C343" s="17"/>
      <c r="D343" s="6"/>
      <c r="E343" s="7" t="str">
        <f>IF($G343="","",INDEX('EDS Lookup'!$F$6:$F$2819,$G343))</f>
        <v/>
      </c>
      <c r="F343" s="8" t="str">
        <f>IF($G343="","",INDEX('EDS Lookup'!$G$6:$G$2819,$G343))</f>
        <v/>
      </c>
      <c r="G343" t="str">
        <f>IF(320&lt;=$B$4,IFERROR(MATCH(320,'EDS Lookup'!$H$6:$H$2819,0),""),"")</f>
        <v/>
      </c>
      <c r="H343" t="str">
        <f t="shared" si="4"/>
        <v/>
      </c>
    </row>
    <row r="344" spans="1:8" ht="19.95" customHeight="1">
      <c r="A344" s="5" t="str">
        <f>IF($G344="","",INDEX('EDS Lookup'!$D$6:$D$2819,$G344))</f>
        <v/>
      </c>
      <c r="B344" s="5" t="str">
        <f>IF($G344="","",INDEX('EDS Lookup'!$B$6:$B$2819,$G344))</f>
        <v/>
      </c>
      <c r="C344" s="17"/>
      <c r="D344" s="6"/>
      <c r="E344" s="7" t="str">
        <f>IF($G344="","",INDEX('EDS Lookup'!$F$6:$F$2819,$G344))</f>
        <v/>
      </c>
      <c r="F344" s="8" t="str">
        <f>IF($G344="","",INDEX('EDS Lookup'!$G$6:$G$2819,$G344))</f>
        <v/>
      </c>
      <c r="G344" t="str">
        <f>IF(321&lt;=$B$4,IFERROR(MATCH(321,'EDS Lookup'!$H$6:$H$2819,0),""),"")</f>
        <v/>
      </c>
      <c r="H344" t="str">
        <f t="shared" ref="H344:H407" si="5">IF(F344="&lt;5",5,IF(F344="&gt;95",95,IF(ISNUMBER(F344),F344,"")))</f>
        <v/>
      </c>
    </row>
    <row r="345" spans="1:8" ht="19.95" customHeight="1">
      <c r="A345" s="5" t="str">
        <f>IF($G345="","",INDEX('EDS Lookup'!$D$6:$D$2819,$G345))</f>
        <v/>
      </c>
      <c r="B345" s="5" t="str">
        <f>IF($G345="","",INDEX('EDS Lookup'!$B$6:$B$2819,$G345))</f>
        <v/>
      </c>
      <c r="C345" s="17"/>
      <c r="D345" s="6"/>
      <c r="E345" s="7" t="str">
        <f>IF($G345="","",INDEX('EDS Lookup'!$F$6:$F$2819,$G345))</f>
        <v/>
      </c>
      <c r="F345" s="8" t="str">
        <f>IF($G345="","",INDEX('EDS Lookup'!$G$6:$G$2819,$G345))</f>
        <v/>
      </c>
      <c r="G345" t="str">
        <f>IF(322&lt;=$B$4,IFERROR(MATCH(322,'EDS Lookup'!$H$6:$H$2819,0),""),"")</f>
        <v/>
      </c>
      <c r="H345" t="str">
        <f t="shared" si="5"/>
        <v/>
      </c>
    </row>
    <row r="346" spans="1:8" ht="19.95" customHeight="1">
      <c r="A346" s="5" t="str">
        <f>IF($G346="","",INDEX('EDS Lookup'!$D$6:$D$2819,$G346))</f>
        <v/>
      </c>
      <c r="B346" s="5" t="str">
        <f>IF($G346="","",INDEX('EDS Lookup'!$B$6:$B$2819,$G346))</f>
        <v/>
      </c>
      <c r="C346" s="17"/>
      <c r="D346" s="6"/>
      <c r="E346" s="7" t="str">
        <f>IF($G346="","",INDEX('EDS Lookup'!$F$6:$F$2819,$G346))</f>
        <v/>
      </c>
      <c r="F346" s="8" t="str">
        <f>IF($G346="","",INDEX('EDS Lookup'!$G$6:$G$2819,$G346))</f>
        <v/>
      </c>
      <c r="G346" t="str">
        <f>IF(323&lt;=$B$4,IFERROR(MATCH(323,'EDS Lookup'!$H$6:$H$2819,0),""),"")</f>
        <v/>
      </c>
      <c r="H346" t="str">
        <f t="shared" si="5"/>
        <v/>
      </c>
    </row>
    <row r="347" spans="1:8" ht="19.95" customHeight="1">
      <c r="A347" s="5" t="str">
        <f>IF($G347="","",INDEX('EDS Lookup'!$D$6:$D$2819,$G347))</f>
        <v/>
      </c>
      <c r="B347" s="5" t="str">
        <f>IF($G347="","",INDEX('EDS Lookup'!$B$6:$B$2819,$G347))</f>
        <v/>
      </c>
      <c r="C347" s="17"/>
      <c r="D347" s="6"/>
      <c r="E347" s="7" t="str">
        <f>IF($G347="","",INDEX('EDS Lookup'!$F$6:$F$2819,$G347))</f>
        <v/>
      </c>
      <c r="F347" s="8" t="str">
        <f>IF($G347="","",INDEX('EDS Lookup'!$G$6:$G$2819,$G347))</f>
        <v/>
      </c>
      <c r="G347" t="str">
        <f>IF(324&lt;=$B$4,IFERROR(MATCH(324,'EDS Lookup'!$H$6:$H$2819,0),""),"")</f>
        <v/>
      </c>
      <c r="H347" t="str">
        <f t="shared" si="5"/>
        <v/>
      </c>
    </row>
    <row r="348" spans="1:8" ht="19.95" customHeight="1">
      <c r="A348" s="5" t="str">
        <f>IF($G348="","",INDEX('EDS Lookup'!$D$6:$D$2819,$G348))</f>
        <v/>
      </c>
      <c r="B348" s="5" t="str">
        <f>IF($G348="","",INDEX('EDS Lookup'!$B$6:$B$2819,$G348))</f>
        <v/>
      </c>
      <c r="C348" s="17"/>
      <c r="D348" s="6"/>
      <c r="E348" s="7" t="str">
        <f>IF($G348="","",INDEX('EDS Lookup'!$F$6:$F$2819,$G348))</f>
        <v/>
      </c>
      <c r="F348" s="8" t="str">
        <f>IF($G348="","",INDEX('EDS Lookup'!$G$6:$G$2819,$G348))</f>
        <v/>
      </c>
      <c r="G348" t="str">
        <f>IF(325&lt;=$B$4,IFERROR(MATCH(325,'EDS Lookup'!$H$6:$H$2819,0),""),"")</f>
        <v/>
      </c>
      <c r="H348" t="str">
        <f t="shared" si="5"/>
        <v/>
      </c>
    </row>
    <row r="349" spans="1:8" ht="19.95" customHeight="1">
      <c r="A349" s="5" t="str">
        <f>IF($G349="","",INDEX('EDS Lookup'!$D$6:$D$2819,$G349))</f>
        <v/>
      </c>
      <c r="B349" s="5" t="str">
        <f>IF($G349="","",INDEX('EDS Lookup'!$B$6:$B$2819,$G349))</f>
        <v/>
      </c>
      <c r="C349" s="17"/>
      <c r="D349" s="6"/>
      <c r="E349" s="7" t="str">
        <f>IF($G349="","",INDEX('EDS Lookup'!$F$6:$F$2819,$G349))</f>
        <v/>
      </c>
      <c r="F349" s="8" t="str">
        <f>IF($G349="","",INDEX('EDS Lookup'!$G$6:$G$2819,$G349))</f>
        <v/>
      </c>
      <c r="G349" t="str">
        <f>IF(326&lt;=$B$4,IFERROR(MATCH(326,'EDS Lookup'!$H$6:$H$2819,0),""),"")</f>
        <v/>
      </c>
      <c r="H349" t="str">
        <f t="shared" si="5"/>
        <v/>
      </c>
    </row>
    <row r="350" spans="1:8" ht="19.95" customHeight="1">
      <c r="A350" s="5" t="str">
        <f>IF($G350="","",INDEX('EDS Lookup'!$D$6:$D$2819,$G350))</f>
        <v/>
      </c>
      <c r="B350" s="5" t="str">
        <f>IF($G350="","",INDEX('EDS Lookup'!$B$6:$B$2819,$G350))</f>
        <v/>
      </c>
      <c r="C350" s="17"/>
      <c r="D350" s="6"/>
      <c r="E350" s="7" t="str">
        <f>IF($G350="","",INDEX('EDS Lookup'!$F$6:$F$2819,$G350))</f>
        <v/>
      </c>
      <c r="F350" s="8" t="str">
        <f>IF($G350="","",INDEX('EDS Lookup'!$G$6:$G$2819,$G350))</f>
        <v/>
      </c>
      <c r="G350" t="str">
        <f>IF(327&lt;=$B$4,IFERROR(MATCH(327,'EDS Lookup'!$H$6:$H$2819,0),""),"")</f>
        <v/>
      </c>
      <c r="H350" t="str">
        <f t="shared" si="5"/>
        <v/>
      </c>
    </row>
    <row r="351" spans="1:8" ht="19.95" customHeight="1">
      <c r="A351" s="5" t="str">
        <f>IF($G351="","",INDEX('EDS Lookup'!$D$6:$D$2819,$G351))</f>
        <v/>
      </c>
      <c r="B351" s="5" t="str">
        <f>IF($G351="","",INDEX('EDS Lookup'!$B$6:$B$2819,$G351))</f>
        <v/>
      </c>
      <c r="C351" s="17"/>
      <c r="D351" s="6"/>
      <c r="E351" s="7" t="str">
        <f>IF($G351="","",INDEX('EDS Lookup'!$F$6:$F$2819,$G351))</f>
        <v/>
      </c>
      <c r="F351" s="8" t="str">
        <f>IF($G351="","",INDEX('EDS Lookup'!$G$6:$G$2819,$G351))</f>
        <v/>
      </c>
      <c r="G351" t="str">
        <f>IF(328&lt;=$B$4,IFERROR(MATCH(328,'EDS Lookup'!$H$6:$H$2819,0),""),"")</f>
        <v/>
      </c>
      <c r="H351" t="str">
        <f t="shared" si="5"/>
        <v/>
      </c>
    </row>
    <row r="352" spans="1:8" ht="19.95" customHeight="1">
      <c r="A352" s="5" t="str">
        <f>IF($G352="","",INDEX('EDS Lookup'!$D$6:$D$2819,$G352))</f>
        <v/>
      </c>
      <c r="B352" s="5" t="str">
        <f>IF($G352="","",INDEX('EDS Lookup'!$B$6:$B$2819,$G352))</f>
        <v/>
      </c>
      <c r="C352" s="17"/>
      <c r="D352" s="6"/>
      <c r="E352" s="7" t="str">
        <f>IF($G352="","",INDEX('EDS Lookup'!$F$6:$F$2819,$G352))</f>
        <v/>
      </c>
      <c r="F352" s="8" t="str">
        <f>IF($G352="","",INDEX('EDS Lookup'!$G$6:$G$2819,$G352))</f>
        <v/>
      </c>
      <c r="G352" t="str">
        <f>IF(329&lt;=$B$4,IFERROR(MATCH(329,'EDS Lookup'!$H$6:$H$2819,0),""),"")</f>
        <v/>
      </c>
      <c r="H352" t="str">
        <f t="shared" si="5"/>
        <v/>
      </c>
    </row>
    <row r="353" spans="1:8" ht="19.95" customHeight="1">
      <c r="A353" s="5" t="str">
        <f>IF($G353="","",INDEX('EDS Lookup'!$D$6:$D$2819,$G353))</f>
        <v/>
      </c>
      <c r="B353" s="5" t="str">
        <f>IF($G353="","",INDEX('EDS Lookup'!$B$6:$B$2819,$G353))</f>
        <v/>
      </c>
      <c r="C353" s="17"/>
      <c r="D353" s="6"/>
      <c r="E353" s="7" t="str">
        <f>IF($G353="","",INDEX('EDS Lookup'!$F$6:$F$2819,$G353))</f>
        <v/>
      </c>
      <c r="F353" s="8" t="str">
        <f>IF($G353="","",INDEX('EDS Lookup'!$G$6:$G$2819,$G353))</f>
        <v/>
      </c>
      <c r="G353" t="str">
        <f>IF(330&lt;=$B$4,IFERROR(MATCH(330,'EDS Lookup'!$H$6:$H$2819,0),""),"")</f>
        <v/>
      </c>
      <c r="H353" t="str">
        <f t="shared" si="5"/>
        <v/>
      </c>
    </row>
    <row r="354" spans="1:8" ht="19.95" customHeight="1">
      <c r="A354" s="5" t="str">
        <f>IF($G354="","",INDEX('EDS Lookup'!$D$6:$D$2819,$G354))</f>
        <v/>
      </c>
      <c r="B354" s="5" t="str">
        <f>IF($G354="","",INDEX('EDS Lookup'!$B$6:$B$2819,$G354))</f>
        <v/>
      </c>
      <c r="C354" s="17"/>
      <c r="D354" s="6"/>
      <c r="E354" s="7" t="str">
        <f>IF($G354="","",INDEX('EDS Lookup'!$F$6:$F$2819,$G354))</f>
        <v/>
      </c>
      <c r="F354" s="8" t="str">
        <f>IF($G354="","",INDEX('EDS Lookup'!$G$6:$G$2819,$G354))</f>
        <v/>
      </c>
      <c r="G354" t="str">
        <f>IF(331&lt;=$B$4,IFERROR(MATCH(331,'EDS Lookup'!$H$6:$H$2819,0),""),"")</f>
        <v/>
      </c>
      <c r="H354" t="str">
        <f t="shared" si="5"/>
        <v/>
      </c>
    </row>
    <row r="355" spans="1:8" ht="19.95" customHeight="1">
      <c r="A355" s="5" t="str">
        <f>IF($G355="","",INDEX('EDS Lookup'!$D$6:$D$2819,$G355))</f>
        <v/>
      </c>
      <c r="B355" s="5" t="str">
        <f>IF($G355="","",INDEX('EDS Lookup'!$B$6:$B$2819,$G355))</f>
        <v/>
      </c>
      <c r="C355" s="17"/>
      <c r="D355" s="6"/>
      <c r="E355" s="7" t="str">
        <f>IF($G355="","",INDEX('EDS Lookup'!$F$6:$F$2819,$G355))</f>
        <v/>
      </c>
      <c r="F355" s="8" t="str">
        <f>IF($G355="","",INDEX('EDS Lookup'!$G$6:$G$2819,$G355))</f>
        <v/>
      </c>
      <c r="G355" t="str">
        <f>IF(332&lt;=$B$4,IFERROR(MATCH(332,'EDS Lookup'!$H$6:$H$2819,0),""),"")</f>
        <v/>
      </c>
      <c r="H355" t="str">
        <f t="shared" si="5"/>
        <v/>
      </c>
    </row>
    <row r="356" spans="1:8" ht="19.95" customHeight="1">
      <c r="A356" s="5" t="str">
        <f>IF($G356="","",INDEX('EDS Lookup'!$D$6:$D$2819,$G356))</f>
        <v/>
      </c>
      <c r="B356" s="5" t="str">
        <f>IF($G356="","",INDEX('EDS Lookup'!$B$6:$B$2819,$G356))</f>
        <v/>
      </c>
      <c r="C356" s="17"/>
      <c r="D356" s="6"/>
      <c r="E356" s="7" t="str">
        <f>IF($G356="","",INDEX('EDS Lookup'!$F$6:$F$2819,$G356))</f>
        <v/>
      </c>
      <c r="F356" s="8" t="str">
        <f>IF($G356="","",INDEX('EDS Lookup'!$G$6:$G$2819,$G356))</f>
        <v/>
      </c>
      <c r="G356" t="str">
        <f>IF(333&lt;=$B$4,IFERROR(MATCH(333,'EDS Lookup'!$H$6:$H$2819,0),""),"")</f>
        <v/>
      </c>
      <c r="H356" t="str">
        <f t="shared" si="5"/>
        <v/>
      </c>
    </row>
    <row r="357" spans="1:8" ht="19.95" customHeight="1">
      <c r="A357" s="5" t="str">
        <f>IF($G357="","",INDEX('EDS Lookup'!$D$6:$D$2819,$G357))</f>
        <v/>
      </c>
      <c r="B357" s="5" t="str">
        <f>IF($G357="","",INDEX('EDS Lookup'!$B$6:$B$2819,$G357))</f>
        <v/>
      </c>
      <c r="C357" s="17"/>
      <c r="D357" s="6"/>
      <c r="E357" s="7" t="str">
        <f>IF($G357="","",INDEX('EDS Lookup'!$F$6:$F$2819,$G357))</f>
        <v/>
      </c>
      <c r="F357" s="8" t="str">
        <f>IF($G357="","",INDEX('EDS Lookup'!$G$6:$G$2819,$G357))</f>
        <v/>
      </c>
      <c r="G357" t="str">
        <f>IF(334&lt;=$B$4,IFERROR(MATCH(334,'EDS Lookup'!$H$6:$H$2819,0),""),"")</f>
        <v/>
      </c>
      <c r="H357" t="str">
        <f t="shared" si="5"/>
        <v/>
      </c>
    </row>
    <row r="358" spans="1:8" ht="19.95" customHeight="1">
      <c r="A358" s="5" t="str">
        <f>IF($G358="","",INDEX('EDS Lookup'!$D$6:$D$2819,$G358))</f>
        <v/>
      </c>
      <c r="B358" s="5" t="str">
        <f>IF($G358="","",INDEX('EDS Lookup'!$B$6:$B$2819,$G358))</f>
        <v/>
      </c>
      <c r="C358" s="17"/>
      <c r="D358" s="6"/>
      <c r="E358" s="7" t="str">
        <f>IF($G358="","",INDEX('EDS Lookup'!$F$6:$F$2819,$G358))</f>
        <v/>
      </c>
      <c r="F358" s="8" t="str">
        <f>IF($G358="","",INDEX('EDS Lookup'!$G$6:$G$2819,$G358))</f>
        <v/>
      </c>
      <c r="G358" t="str">
        <f>IF(335&lt;=$B$4,IFERROR(MATCH(335,'EDS Lookup'!$H$6:$H$2819,0),""),"")</f>
        <v/>
      </c>
      <c r="H358" t="str">
        <f t="shared" si="5"/>
        <v/>
      </c>
    </row>
    <row r="359" spans="1:8" ht="19.95" customHeight="1">
      <c r="A359" s="5" t="str">
        <f>IF($G359="","",INDEX('EDS Lookup'!$D$6:$D$2819,$G359))</f>
        <v/>
      </c>
      <c r="B359" s="5" t="str">
        <f>IF($G359="","",INDEX('EDS Lookup'!$B$6:$B$2819,$G359))</f>
        <v/>
      </c>
      <c r="C359" s="17"/>
      <c r="D359" s="6"/>
      <c r="E359" s="7" t="str">
        <f>IF($G359="","",INDEX('EDS Lookup'!$F$6:$F$2819,$G359))</f>
        <v/>
      </c>
      <c r="F359" s="8" t="str">
        <f>IF($G359="","",INDEX('EDS Lookup'!$G$6:$G$2819,$G359))</f>
        <v/>
      </c>
      <c r="G359" t="str">
        <f>IF(336&lt;=$B$4,IFERROR(MATCH(336,'EDS Lookup'!$H$6:$H$2819,0),""),"")</f>
        <v/>
      </c>
      <c r="H359" t="str">
        <f t="shared" si="5"/>
        <v/>
      </c>
    </row>
    <row r="360" spans="1:8" ht="19.95" customHeight="1">
      <c r="A360" s="5" t="str">
        <f>IF($G360="","",INDEX('EDS Lookup'!$D$6:$D$2819,$G360))</f>
        <v/>
      </c>
      <c r="B360" s="5" t="str">
        <f>IF($G360="","",INDEX('EDS Lookup'!$B$6:$B$2819,$G360))</f>
        <v/>
      </c>
      <c r="C360" s="17"/>
      <c r="D360" s="6"/>
      <c r="E360" s="7" t="str">
        <f>IF($G360="","",INDEX('EDS Lookup'!$F$6:$F$2819,$G360))</f>
        <v/>
      </c>
      <c r="F360" s="8" t="str">
        <f>IF($G360="","",INDEX('EDS Lookup'!$G$6:$G$2819,$G360))</f>
        <v/>
      </c>
      <c r="G360" t="str">
        <f>IF(337&lt;=$B$4,IFERROR(MATCH(337,'EDS Lookup'!$H$6:$H$2819,0),""),"")</f>
        <v/>
      </c>
      <c r="H360" t="str">
        <f t="shared" si="5"/>
        <v/>
      </c>
    </row>
    <row r="361" spans="1:8" ht="19.95" customHeight="1">
      <c r="A361" s="5" t="str">
        <f>IF($G361="","",INDEX('EDS Lookup'!$D$6:$D$2819,$G361))</f>
        <v/>
      </c>
      <c r="B361" s="5" t="str">
        <f>IF($G361="","",INDEX('EDS Lookup'!$B$6:$B$2819,$G361))</f>
        <v/>
      </c>
      <c r="C361" s="17"/>
      <c r="D361" s="6"/>
      <c r="E361" s="7" t="str">
        <f>IF($G361="","",INDEX('EDS Lookup'!$F$6:$F$2819,$G361))</f>
        <v/>
      </c>
      <c r="F361" s="8" t="str">
        <f>IF($G361="","",INDEX('EDS Lookup'!$G$6:$G$2819,$G361))</f>
        <v/>
      </c>
      <c r="G361" t="str">
        <f>IF(338&lt;=$B$4,IFERROR(MATCH(338,'EDS Lookup'!$H$6:$H$2819,0),""),"")</f>
        <v/>
      </c>
      <c r="H361" t="str">
        <f t="shared" si="5"/>
        <v/>
      </c>
    </row>
    <row r="362" spans="1:8" ht="19.95" customHeight="1">
      <c r="A362" s="5" t="str">
        <f>IF($G362="","",INDEX('EDS Lookup'!$D$6:$D$2819,$G362))</f>
        <v/>
      </c>
      <c r="B362" s="5" t="str">
        <f>IF($G362="","",INDEX('EDS Lookup'!$B$6:$B$2819,$G362))</f>
        <v/>
      </c>
      <c r="C362" s="17"/>
      <c r="D362" s="6"/>
      <c r="E362" s="7" t="str">
        <f>IF($G362="","",INDEX('EDS Lookup'!$F$6:$F$2819,$G362))</f>
        <v/>
      </c>
      <c r="F362" s="8" t="str">
        <f>IF($G362="","",INDEX('EDS Lookup'!$G$6:$G$2819,$G362))</f>
        <v/>
      </c>
      <c r="G362" t="str">
        <f>IF(339&lt;=$B$4,IFERROR(MATCH(339,'EDS Lookup'!$H$6:$H$2819,0),""),"")</f>
        <v/>
      </c>
      <c r="H362" t="str">
        <f t="shared" si="5"/>
        <v/>
      </c>
    </row>
    <row r="363" spans="1:8" ht="19.95" customHeight="1">
      <c r="A363" s="5" t="str">
        <f>IF($G363="","",INDEX('EDS Lookup'!$D$6:$D$2819,$G363))</f>
        <v/>
      </c>
      <c r="B363" s="5" t="str">
        <f>IF($G363="","",INDEX('EDS Lookup'!$B$6:$B$2819,$G363))</f>
        <v/>
      </c>
      <c r="C363" s="17"/>
      <c r="D363" s="6"/>
      <c r="E363" s="7" t="str">
        <f>IF($G363="","",INDEX('EDS Lookup'!$F$6:$F$2819,$G363))</f>
        <v/>
      </c>
      <c r="F363" s="8" t="str">
        <f>IF($G363="","",INDEX('EDS Lookup'!$G$6:$G$2819,$G363))</f>
        <v/>
      </c>
      <c r="G363" t="str">
        <f>IF(340&lt;=$B$4,IFERROR(MATCH(340,'EDS Lookup'!$H$6:$H$2819,0),""),"")</f>
        <v/>
      </c>
      <c r="H363" t="str">
        <f t="shared" si="5"/>
        <v/>
      </c>
    </row>
    <row r="364" spans="1:8" ht="19.95" customHeight="1">
      <c r="A364" s="5" t="str">
        <f>IF($G364="","",INDEX('EDS Lookup'!$D$6:$D$2819,$G364))</f>
        <v/>
      </c>
      <c r="B364" s="5" t="str">
        <f>IF($G364="","",INDEX('EDS Lookup'!$B$6:$B$2819,$G364))</f>
        <v/>
      </c>
      <c r="C364" s="17"/>
      <c r="D364" s="6"/>
      <c r="E364" s="7" t="str">
        <f>IF($G364="","",INDEX('EDS Lookup'!$F$6:$F$2819,$G364))</f>
        <v/>
      </c>
      <c r="F364" s="8" t="str">
        <f>IF($G364="","",INDEX('EDS Lookup'!$G$6:$G$2819,$G364))</f>
        <v/>
      </c>
      <c r="G364" t="str">
        <f>IF(341&lt;=$B$4,IFERROR(MATCH(341,'EDS Lookup'!$H$6:$H$2819,0),""),"")</f>
        <v/>
      </c>
      <c r="H364" t="str">
        <f t="shared" si="5"/>
        <v/>
      </c>
    </row>
    <row r="365" spans="1:8" ht="19.95" customHeight="1">
      <c r="A365" s="5" t="str">
        <f>IF($G365="","",INDEX('EDS Lookup'!$D$6:$D$2819,$G365))</f>
        <v/>
      </c>
      <c r="B365" s="5" t="str">
        <f>IF($G365="","",INDEX('EDS Lookup'!$B$6:$B$2819,$G365))</f>
        <v/>
      </c>
      <c r="C365" s="17"/>
      <c r="D365" s="6"/>
      <c r="E365" s="7" t="str">
        <f>IF($G365="","",INDEX('EDS Lookup'!$F$6:$F$2819,$G365))</f>
        <v/>
      </c>
      <c r="F365" s="8" t="str">
        <f>IF($G365="","",INDEX('EDS Lookup'!$G$6:$G$2819,$G365))</f>
        <v/>
      </c>
      <c r="G365" t="str">
        <f>IF(342&lt;=$B$4,IFERROR(MATCH(342,'EDS Lookup'!$H$6:$H$2819,0),""),"")</f>
        <v/>
      </c>
      <c r="H365" t="str">
        <f t="shared" si="5"/>
        <v/>
      </c>
    </row>
    <row r="366" spans="1:8" ht="19.95" customHeight="1">
      <c r="A366" s="5" t="str">
        <f>IF($G366="","",INDEX('EDS Lookup'!$D$6:$D$2819,$G366))</f>
        <v/>
      </c>
      <c r="B366" s="5" t="str">
        <f>IF($G366="","",INDEX('EDS Lookup'!$B$6:$B$2819,$G366))</f>
        <v/>
      </c>
      <c r="C366" s="17"/>
      <c r="D366" s="6"/>
      <c r="E366" s="7" t="str">
        <f>IF($G366="","",INDEX('EDS Lookup'!$F$6:$F$2819,$G366))</f>
        <v/>
      </c>
      <c r="F366" s="8" t="str">
        <f>IF($G366="","",INDEX('EDS Lookup'!$G$6:$G$2819,$G366))</f>
        <v/>
      </c>
      <c r="G366" t="str">
        <f>IF(343&lt;=$B$4,IFERROR(MATCH(343,'EDS Lookup'!$H$6:$H$2819,0),""),"")</f>
        <v/>
      </c>
      <c r="H366" t="str">
        <f t="shared" si="5"/>
        <v/>
      </c>
    </row>
    <row r="367" spans="1:8" ht="19.95" customHeight="1">
      <c r="A367" s="5" t="str">
        <f>IF($G367="","",INDEX('EDS Lookup'!$D$6:$D$2819,$G367))</f>
        <v/>
      </c>
      <c r="B367" s="5" t="str">
        <f>IF($G367="","",INDEX('EDS Lookup'!$B$6:$B$2819,$G367))</f>
        <v/>
      </c>
      <c r="C367" s="17"/>
      <c r="D367" s="6"/>
      <c r="E367" s="7" t="str">
        <f>IF($G367="","",INDEX('EDS Lookup'!$F$6:$F$2819,$G367))</f>
        <v/>
      </c>
      <c r="F367" s="8" t="str">
        <f>IF($G367="","",INDEX('EDS Lookup'!$G$6:$G$2819,$G367))</f>
        <v/>
      </c>
      <c r="G367" t="str">
        <f>IF(344&lt;=$B$4,IFERROR(MATCH(344,'EDS Lookup'!$H$6:$H$2819,0),""),"")</f>
        <v/>
      </c>
      <c r="H367" t="str">
        <f t="shared" si="5"/>
        <v/>
      </c>
    </row>
    <row r="368" spans="1:8" ht="19.95" customHeight="1">
      <c r="A368" s="5" t="str">
        <f>IF($G368="","",INDEX('EDS Lookup'!$D$6:$D$2819,$G368))</f>
        <v/>
      </c>
      <c r="B368" s="5" t="str">
        <f>IF($G368="","",INDEX('EDS Lookup'!$B$6:$B$2819,$G368))</f>
        <v/>
      </c>
      <c r="C368" s="17"/>
      <c r="D368" s="6"/>
      <c r="E368" s="7" t="str">
        <f>IF($G368="","",INDEX('EDS Lookup'!$F$6:$F$2819,$G368))</f>
        <v/>
      </c>
      <c r="F368" s="8" t="str">
        <f>IF($G368="","",INDEX('EDS Lookup'!$G$6:$G$2819,$G368))</f>
        <v/>
      </c>
      <c r="G368" t="str">
        <f>IF(345&lt;=$B$4,IFERROR(MATCH(345,'EDS Lookup'!$H$6:$H$2819,0),""),"")</f>
        <v/>
      </c>
      <c r="H368" t="str">
        <f t="shared" si="5"/>
        <v/>
      </c>
    </row>
    <row r="369" spans="1:8" ht="19.95" customHeight="1">
      <c r="A369" s="5" t="str">
        <f>IF($G369="","",INDEX('EDS Lookup'!$D$6:$D$2819,$G369))</f>
        <v/>
      </c>
      <c r="B369" s="5" t="str">
        <f>IF($G369="","",INDEX('EDS Lookup'!$B$6:$B$2819,$G369))</f>
        <v/>
      </c>
      <c r="C369" s="17"/>
      <c r="D369" s="6"/>
      <c r="E369" s="7" t="str">
        <f>IF($G369="","",INDEX('EDS Lookup'!$F$6:$F$2819,$G369))</f>
        <v/>
      </c>
      <c r="F369" s="8" t="str">
        <f>IF($G369="","",INDEX('EDS Lookup'!$G$6:$G$2819,$G369))</f>
        <v/>
      </c>
      <c r="G369" t="str">
        <f>IF(346&lt;=$B$4,IFERROR(MATCH(346,'EDS Lookup'!$H$6:$H$2819,0),""),"")</f>
        <v/>
      </c>
      <c r="H369" t="str">
        <f t="shared" si="5"/>
        <v/>
      </c>
    </row>
    <row r="370" spans="1:8" ht="19.95" customHeight="1">
      <c r="A370" s="5" t="str">
        <f>IF($G370="","",INDEX('EDS Lookup'!$D$6:$D$2819,$G370))</f>
        <v/>
      </c>
      <c r="B370" s="5" t="str">
        <f>IF($G370="","",INDEX('EDS Lookup'!$B$6:$B$2819,$G370))</f>
        <v/>
      </c>
      <c r="C370" s="17"/>
      <c r="D370" s="6"/>
      <c r="E370" s="7" t="str">
        <f>IF($G370="","",INDEX('EDS Lookup'!$F$6:$F$2819,$G370))</f>
        <v/>
      </c>
      <c r="F370" s="8" t="str">
        <f>IF($G370="","",INDEX('EDS Lookup'!$G$6:$G$2819,$G370))</f>
        <v/>
      </c>
      <c r="G370" t="str">
        <f>IF(347&lt;=$B$4,IFERROR(MATCH(347,'EDS Lookup'!$H$6:$H$2819,0),""),"")</f>
        <v/>
      </c>
      <c r="H370" t="str">
        <f t="shared" si="5"/>
        <v/>
      </c>
    </row>
    <row r="371" spans="1:8" ht="19.95" customHeight="1">
      <c r="A371" s="5" t="str">
        <f>IF($G371="","",INDEX('EDS Lookup'!$D$6:$D$2819,$G371))</f>
        <v/>
      </c>
      <c r="B371" s="5" t="str">
        <f>IF($G371="","",INDEX('EDS Lookup'!$B$6:$B$2819,$G371))</f>
        <v/>
      </c>
      <c r="C371" s="17"/>
      <c r="D371" s="6"/>
      <c r="E371" s="7" t="str">
        <f>IF($G371="","",INDEX('EDS Lookup'!$F$6:$F$2819,$G371))</f>
        <v/>
      </c>
      <c r="F371" s="8" t="str">
        <f>IF($G371="","",INDEX('EDS Lookup'!$G$6:$G$2819,$G371))</f>
        <v/>
      </c>
      <c r="G371" t="str">
        <f>IF(348&lt;=$B$4,IFERROR(MATCH(348,'EDS Lookup'!$H$6:$H$2819,0),""),"")</f>
        <v/>
      </c>
      <c r="H371" t="str">
        <f t="shared" si="5"/>
        <v/>
      </c>
    </row>
    <row r="372" spans="1:8" ht="19.95" customHeight="1">
      <c r="A372" s="5" t="str">
        <f>IF($G372="","",INDEX('EDS Lookup'!$D$6:$D$2819,$G372))</f>
        <v/>
      </c>
      <c r="B372" s="5" t="str">
        <f>IF($G372="","",INDEX('EDS Lookup'!$B$6:$B$2819,$G372))</f>
        <v/>
      </c>
      <c r="C372" s="17"/>
      <c r="D372" s="6"/>
      <c r="E372" s="7" t="str">
        <f>IF($G372="","",INDEX('EDS Lookup'!$F$6:$F$2819,$G372))</f>
        <v/>
      </c>
      <c r="F372" s="8" t="str">
        <f>IF($G372="","",INDEX('EDS Lookup'!$G$6:$G$2819,$G372))</f>
        <v/>
      </c>
      <c r="G372" t="str">
        <f>IF(349&lt;=$B$4,IFERROR(MATCH(349,'EDS Lookup'!$H$6:$H$2819,0),""),"")</f>
        <v/>
      </c>
      <c r="H372" t="str">
        <f t="shared" si="5"/>
        <v/>
      </c>
    </row>
    <row r="373" spans="1:8" ht="19.95" customHeight="1">
      <c r="A373" s="5" t="str">
        <f>IF($G373="","",INDEX('EDS Lookup'!$D$6:$D$2819,$G373))</f>
        <v/>
      </c>
      <c r="B373" s="5" t="str">
        <f>IF($G373="","",INDEX('EDS Lookup'!$B$6:$B$2819,$G373))</f>
        <v/>
      </c>
      <c r="C373" s="17"/>
      <c r="D373" s="6"/>
      <c r="E373" s="7" t="str">
        <f>IF($G373="","",INDEX('EDS Lookup'!$F$6:$F$2819,$G373))</f>
        <v/>
      </c>
      <c r="F373" s="8" t="str">
        <f>IF($G373="","",INDEX('EDS Lookup'!$G$6:$G$2819,$G373))</f>
        <v/>
      </c>
      <c r="G373" t="str">
        <f>IF(350&lt;=$B$4,IFERROR(MATCH(350,'EDS Lookup'!$H$6:$H$2819,0),""),"")</f>
        <v/>
      </c>
      <c r="H373" t="str">
        <f t="shared" si="5"/>
        <v/>
      </c>
    </row>
    <row r="374" spans="1:8" ht="19.95" customHeight="1">
      <c r="A374" s="5" t="str">
        <f>IF($G374="","",INDEX('EDS Lookup'!$D$6:$D$2819,$G374))</f>
        <v/>
      </c>
      <c r="B374" s="5" t="str">
        <f>IF($G374="","",INDEX('EDS Lookup'!$B$6:$B$2819,$G374))</f>
        <v/>
      </c>
      <c r="C374" s="17"/>
      <c r="D374" s="6"/>
      <c r="E374" s="7" t="str">
        <f>IF($G374="","",INDEX('EDS Lookup'!$F$6:$F$2819,$G374))</f>
        <v/>
      </c>
      <c r="F374" s="8" t="str">
        <f>IF($G374="","",INDEX('EDS Lookup'!$G$6:$G$2819,$G374))</f>
        <v/>
      </c>
      <c r="G374" t="str">
        <f>IF(351&lt;=$B$4,IFERROR(MATCH(351,'EDS Lookup'!$H$6:$H$2819,0),""),"")</f>
        <v/>
      </c>
      <c r="H374" t="str">
        <f t="shared" si="5"/>
        <v/>
      </c>
    </row>
    <row r="375" spans="1:8" ht="19.95" customHeight="1">
      <c r="A375" s="5" t="str">
        <f>IF($G375="","",INDEX('EDS Lookup'!$D$6:$D$2819,$G375))</f>
        <v/>
      </c>
      <c r="B375" s="5" t="str">
        <f>IF($G375="","",INDEX('EDS Lookup'!$B$6:$B$2819,$G375))</f>
        <v/>
      </c>
      <c r="C375" s="17"/>
      <c r="D375" s="6"/>
      <c r="E375" s="7" t="str">
        <f>IF($G375="","",INDEX('EDS Lookup'!$F$6:$F$2819,$G375))</f>
        <v/>
      </c>
      <c r="F375" s="8" t="str">
        <f>IF($G375="","",INDEX('EDS Lookup'!$G$6:$G$2819,$G375))</f>
        <v/>
      </c>
      <c r="G375" t="str">
        <f>IF(352&lt;=$B$4,IFERROR(MATCH(352,'EDS Lookup'!$H$6:$H$2819,0),""),"")</f>
        <v/>
      </c>
      <c r="H375" t="str">
        <f t="shared" si="5"/>
        <v/>
      </c>
    </row>
    <row r="376" spans="1:8" ht="19.95" customHeight="1">
      <c r="A376" s="5" t="str">
        <f>IF($G376="","",INDEX('EDS Lookup'!$D$6:$D$2819,$G376))</f>
        <v/>
      </c>
      <c r="B376" s="5" t="str">
        <f>IF($G376="","",INDEX('EDS Lookup'!$B$6:$B$2819,$G376))</f>
        <v/>
      </c>
      <c r="C376" s="17"/>
      <c r="D376" s="6"/>
      <c r="E376" s="7" t="str">
        <f>IF($G376="","",INDEX('EDS Lookup'!$F$6:$F$2819,$G376))</f>
        <v/>
      </c>
      <c r="F376" s="8" t="str">
        <f>IF($G376="","",INDEX('EDS Lookup'!$G$6:$G$2819,$G376))</f>
        <v/>
      </c>
      <c r="G376" t="str">
        <f>IF(353&lt;=$B$4,IFERROR(MATCH(353,'EDS Lookup'!$H$6:$H$2819,0),""),"")</f>
        <v/>
      </c>
      <c r="H376" t="str">
        <f t="shared" si="5"/>
        <v/>
      </c>
    </row>
    <row r="377" spans="1:8" ht="19.95" customHeight="1">
      <c r="A377" s="5" t="str">
        <f>IF($G377="","",INDEX('EDS Lookup'!$D$6:$D$2819,$G377))</f>
        <v/>
      </c>
      <c r="B377" s="5" t="str">
        <f>IF($G377="","",INDEX('EDS Lookup'!$B$6:$B$2819,$G377))</f>
        <v/>
      </c>
      <c r="C377" s="17"/>
      <c r="D377" s="6"/>
      <c r="E377" s="7" t="str">
        <f>IF($G377="","",INDEX('EDS Lookup'!$F$6:$F$2819,$G377))</f>
        <v/>
      </c>
      <c r="F377" s="8" t="str">
        <f>IF($G377="","",INDEX('EDS Lookup'!$G$6:$G$2819,$G377))</f>
        <v/>
      </c>
      <c r="G377" t="str">
        <f>IF(354&lt;=$B$4,IFERROR(MATCH(354,'EDS Lookup'!$H$6:$H$2819,0),""),"")</f>
        <v/>
      </c>
      <c r="H377" t="str">
        <f t="shared" si="5"/>
        <v/>
      </c>
    </row>
    <row r="378" spans="1:8" ht="19.95" customHeight="1">
      <c r="A378" s="5" t="str">
        <f>IF($G378="","",INDEX('EDS Lookup'!$D$6:$D$2819,$G378))</f>
        <v/>
      </c>
      <c r="B378" s="5" t="str">
        <f>IF($G378="","",INDEX('EDS Lookup'!$B$6:$B$2819,$G378))</f>
        <v/>
      </c>
      <c r="C378" s="17"/>
      <c r="D378" s="6"/>
      <c r="E378" s="7" t="str">
        <f>IF($G378="","",INDEX('EDS Lookup'!$F$6:$F$2819,$G378))</f>
        <v/>
      </c>
      <c r="F378" s="8" t="str">
        <f>IF($G378="","",INDEX('EDS Lookup'!$G$6:$G$2819,$G378))</f>
        <v/>
      </c>
      <c r="G378" t="str">
        <f>IF(355&lt;=$B$4,IFERROR(MATCH(355,'EDS Lookup'!$H$6:$H$2819,0),""),"")</f>
        <v/>
      </c>
      <c r="H378" t="str">
        <f t="shared" si="5"/>
        <v/>
      </c>
    </row>
    <row r="379" spans="1:8" ht="19.95" customHeight="1">
      <c r="A379" s="5" t="str">
        <f>IF($G379="","",INDEX('EDS Lookup'!$D$6:$D$2819,$G379))</f>
        <v/>
      </c>
      <c r="B379" s="5" t="str">
        <f>IF($G379="","",INDEX('EDS Lookup'!$B$6:$B$2819,$G379))</f>
        <v/>
      </c>
      <c r="C379" s="17"/>
      <c r="D379" s="6"/>
      <c r="E379" s="7" t="str">
        <f>IF($G379="","",INDEX('EDS Lookup'!$F$6:$F$2819,$G379))</f>
        <v/>
      </c>
      <c r="F379" s="8" t="str">
        <f>IF($G379="","",INDEX('EDS Lookup'!$G$6:$G$2819,$G379))</f>
        <v/>
      </c>
      <c r="G379" t="str">
        <f>IF(356&lt;=$B$4,IFERROR(MATCH(356,'EDS Lookup'!$H$6:$H$2819,0),""),"")</f>
        <v/>
      </c>
      <c r="H379" t="str">
        <f t="shared" si="5"/>
        <v/>
      </c>
    </row>
    <row r="380" spans="1:8" ht="19.95" customHeight="1">
      <c r="A380" s="5" t="str">
        <f>IF($G380="","",INDEX('EDS Lookup'!$D$6:$D$2819,$G380))</f>
        <v/>
      </c>
      <c r="B380" s="5" t="str">
        <f>IF($G380="","",INDEX('EDS Lookup'!$B$6:$B$2819,$G380))</f>
        <v/>
      </c>
      <c r="C380" s="17"/>
      <c r="D380" s="6"/>
      <c r="E380" s="7" t="str">
        <f>IF($G380="","",INDEX('EDS Lookup'!$F$6:$F$2819,$G380))</f>
        <v/>
      </c>
      <c r="F380" s="8" t="str">
        <f>IF($G380="","",INDEX('EDS Lookup'!$G$6:$G$2819,$G380))</f>
        <v/>
      </c>
      <c r="G380" t="str">
        <f>IF(357&lt;=$B$4,IFERROR(MATCH(357,'EDS Lookup'!$H$6:$H$2819,0),""),"")</f>
        <v/>
      </c>
      <c r="H380" t="str">
        <f t="shared" si="5"/>
        <v/>
      </c>
    </row>
    <row r="381" spans="1:8" ht="19.95" customHeight="1">
      <c r="A381" s="5" t="str">
        <f>IF($G381="","",INDEX('EDS Lookup'!$D$6:$D$2819,$G381))</f>
        <v/>
      </c>
      <c r="B381" s="5" t="str">
        <f>IF($G381="","",INDEX('EDS Lookup'!$B$6:$B$2819,$G381))</f>
        <v/>
      </c>
      <c r="C381" s="17"/>
      <c r="D381" s="6"/>
      <c r="E381" s="7" t="str">
        <f>IF($G381="","",INDEX('EDS Lookup'!$F$6:$F$2819,$G381))</f>
        <v/>
      </c>
      <c r="F381" s="8" t="str">
        <f>IF($G381="","",INDEX('EDS Lookup'!$G$6:$G$2819,$G381))</f>
        <v/>
      </c>
      <c r="G381" t="str">
        <f>IF(358&lt;=$B$4,IFERROR(MATCH(358,'EDS Lookup'!$H$6:$H$2819,0),""),"")</f>
        <v/>
      </c>
      <c r="H381" t="str">
        <f t="shared" si="5"/>
        <v/>
      </c>
    </row>
    <row r="382" spans="1:8" ht="19.95" customHeight="1">
      <c r="A382" s="5" t="str">
        <f>IF($G382="","",INDEX('EDS Lookup'!$D$6:$D$2819,$G382))</f>
        <v/>
      </c>
      <c r="B382" s="5" t="str">
        <f>IF($G382="","",INDEX('EDS Lookup'!$B$6:$B$2819,$G382))</f>
        <v/>
      </c>
      <c r="C382" s="17"/>
      <c r="D382" s="6"/>
      <c r="E382" s="7" t="str">
        <f>IF($G382="","",INDEX('EDS Lookup'!$F$6:$F$2819,$G382))</f>
        <v/>
      </c>
      <c r="F382" s="8" t="str">
        <f>IF($G382="","",INDEX('EDS Lookup'!$G$6:$G$2819,$G382))</f>
        <v/>
      </c>
      <c r="G382" t="str">
        <f>IF(359&lt;=$B$4,IFERROR(MATCH(359,'EDS Lookup'!$H$6:$H$2819,0),""),"")</f>
        <v/>
      </c>
      <c r="H382" t="str">
        <f t="shared" si="5"/>
        <v/>
      </c>
    </row>
    <row r="383" spans="1:8" ht="19.95" customHeight="1">
      <c r="A383" s="5" t="str">
        <f>IF($G383="","",INDEX('EDS Lookup'!$D$6:$D$2819,$G383))</f>
        <v/>
      </c>
      <c r="B383" s="5" t="str">
        <f>IF($G383="","",INDEX('EDS Lookup'!$B$6:$B$2819,$G383))</f>
        <v/>
      </c>
      <c r="C383" s="17"/>
      <c r="D383" s="6"/>
      <c r="E383" s="7" t="str">
        <f>IF($G383="","",INDEX('EDS Lookup'!$F$6:$F$2819,$G383))</f>
        <v/>
      </c>
      <c r="F383" s="8" t="str">
        <f>IF($G383="","",INDEX('EDS Lookup'!$G$6:$G$2819,$G383))</f>
        <v/>
      </c>
      <c r="G383" t="str">
        <f>IF(360&lt;=$B$4,IFERROR(MATCH(360,'EDS Lookup'!$H$6:$H$2819,0),""),"")</f>
        <v/>
      </c>
      <c r="H383" t="str">
        <f t="shared" si="5"/>
        <v/>
      </c>
    </row>
    <row r="384" spans="1:8" ht="19.95" customHeight="1">
      <c r="A384" s="5" t="str">
        <f>IF($G384="","",INDEX('EDS Lookup'!$D$6:$D$2819,$G384))</f>
        <v/>
      </c>
      <c r="B384" s="5" t="str">
        <f>IF($G384="","",INDEX('EDS Lookup'!$B$6:$B$2819,$G384))</f>
        <v/>
      </c>
      <c r="C384" s="17"/>
      <c r="D384" s="6"/>
      <c r="E384" s="7" t="str">
        <f>IF($G384="","",INDEX('EDS Lookup'!$F$6:$F$2819,$G384))</f>
        <v/>
      </c>
      <c r="F384" s="8" t="str">
        <f>IF($G384="","",INDEX('EDS Lookup'!$G$6:$G$2819,$G384))</f>
        <v/>
      </c>
      <c r="G384" t="str">
        <f>IF(361&lt;=$B$4,IFERROR(MATCH(361,'EDS Lookup'!$H$6:$H$2819,0),""),"")</f>
        <v/>
      </c>
      <c r="H384" t="str">
        <f t="shared" si="5"/>
        <v/>
      </c>
    </row>
    <row r="385" spans="1:8" ht="19.95" customHeight="1">
      <c r="A385" s="5" t="str">
        <f>IF($G385="","",INDEX('EDS Lookup'!$D$6:$D$2819,$G385))</f>
        <v/>
      </c>
      <c r="B385" s="5" t="str">
        <f>IF($G385="","",INDEX('EDS Lookup'!$B$6:$B$2819,$G385))</f>
        <v/>
      </c>
      <c r="C385" s="17"/>
      <c r="D385" s="6"/>
      <c r="E385" s="7" t="str">
        <f>IF($G385="","",INDEX('EDS Lookup'!$F$6:$F$2819,$G385))</f>
        <v/>
      </c>
      <c r="F385" s="8" t="str">
        <f>IF($G385="","",INDEX('EDS Lookup'!$G$6:$G$2819,$G385))</f>
        <v/>
      </c>
      <c r="G385" t="str">
        <f>IF(362&lt;=$B$4,IFERROR(MATCH(362,'EDS Lookup'!$H$6:$H$2819,0),""),"")</f>
        <v/>
      </c>
      <c r="H385" t="str">
        <f t="shared" si="5"/>
        <v/>
      </c>
    </row>
    <row r="386" spans="1:8" ht="19.95" customHeight="1">
      <c r="A386" s="5" t="str">
        <f>IF($G386="","",INDEX('EDS Lookup'!$D$6:$D$2819,$G386))</f>
        <v/>
      </c>
      <c r="B386" s="5" t="str">
        <f>IF($G386="","",INDEX('EDS Lookup'!$B$6:$B$2819,$G386))</f>
        <v/>
      </c>
      <c r="C386" s="17"/>
      <c r="D386" s="6"/>
      <c r="E386" s="7" t="str">
        <f>IF($G386="","",INDEX('EDS Lookup'!$F$6:$F$2819,$G386))</f>
        <v/>
      </c>
      <c r="F386" s="8" t="str">
        <f>IF($G386="","",INDEX('EDS Lookup'!$G$6:$G$2819,$G386))</f>
        <v/>
      </c>
      <c r="G386" t="str">
        <f>IF(363&lt;=$B$4,IFERROR(MATCH(363,'EDS Lookup'!$H$6:$H$2819,0),""),"")</f>
        <v/>
      </c>
      <c r="H386" t="str">
        <f t="shared" si="5"/>
        <v/>
      </c>
    </row>
    <row r="387" spans="1:8" ht="19.95" customHeight="1">
      <c r="A387" s="5" t="str">
        <f>IF($G387="","",INDEX('EDS Lookup'!$D$6:$D$2819,$G387))</f>
        <v/>
      </c>
      <c r="B387" s="5" t="str">
        <f>IF($G387="","",INDEX('EDS Lookup'!$B$6:$B$2819,$G387))</f>
        <v/>
      </c>
      <c r="C387" s="17"/>
      <c r="D387" s="6"/>
      <c r="E387" s="7" t="str">
        <f>IF($G387="","",INDEX('EDS Lookup'!$F$6:$F$2819,$G387))</f>
        <v/>
      </c>
      <c r="F387" s="8" t="str">
        <f>IF($G387="","",INDEX('EDS Lookup'!$G$6:$G$2819,$G387))</f>
        <v/>
      </c>
      <c r="G387" t="str">
        <f>IF(364&lt;=$B$4,IFERROR(MATCH(364,'EDS Lookup'!$H$6:$H$2819,0),""),"")</f>
        <v/>
      </c>
      <c r="H387" t="str">
        <f t="shared" si="5"/>
        <v/>
      </c>
    </row>
    <row r="388" spans="1:8" ht="19.95" customHeight="1">
      <c r="A388" s="5" t="str">
        <f>IF($G388="","",INDEX('EDS Lookup'!$D$6:$D$2819,$G388))</f>
        <v/>
      </c>
      <c r="B388" s="5" t="str">
        <f>IF($G388="","",INDEX('EDS Lookup'!$B$6:$B$2819,$G388))</f>
        <v/>
      </c>
      <c r="C388" s="17"/>
      <c r="D388" s="6"/>
      <c r="E388" s="7" t="str">
        <f>IF($G388="","",INDEX('EDS Lookup'!$F$6:$F$2819,$G388))</f>
        <v/>
      </c>
      <c r="F388" s="8" t="str">
        <f>IF($G388="","",INDEX('EDS Lookup'!$G$6:$G$2819,$G388))</f>
        <v/>
      </c>
      <c r="G388" t="str">
        <f>IF(365&lt;=$B$4,IFERROR(MATCH(365,'EDS Lookup'!$H$6:$H$2819,0),""),"")</f>
        <v/>
      </c>
      <c r="H388" t="str">
        <f t="shared" si="5"/>
        <v/>
      </c>
    </row>
    <row r="389" spans="1:8" ht="19.95" customHeight="1">
      <c r="A389" s="5" t="str">
        <f>IF($G389="","",INDEX('EDS Lookup'!$D$6:$D$2819,$G389))</f>
        <v/>
      </c>
      <c r="B389" s="5" t="str">
        <f>IF($G389="","",INDEX('EDS Lookup'!$B$6:$B$2819,$G389))</f>
        <v/>
      </c>
      <c r="C389" s="17"/>
      <c r="D389" s="6"/>
      <c r="E389" s="7" t="str">
        <f>IF($G389="","",INDEX('EDS Lookup'!$F$6:$F$2819,$G389))</f>
        <v/>
      </c>
      <c r="F389" s="8" t="str">
        <f>IF($G389="","",INDEX('EDS Lookup'!$G$6:$G$2819,$G389))</f>
        <v/>
      </c>
      <c r="G389" t="str">
        <f>IF(366&lt;=$B$4,IFERROR(MATCH(366,'EDS Lookup'!$H$6:$H$2819,0),""),"")</f>
        <v/>
      </c>
      <c r="H389" t="str">
        <f t="shared" si="5"/>
        <v/>
      </c>
    </row>
    <row r="390" spans="1:8" ht="19.95" customHeight="1">
      <c r="A390" s="5" t="str">
        <f>IF($G390="","",INDEX('EDS Lookup'!$D$6:$D$2819,$G390))</f>
        <v/>
      </c>
      <c r="B390" s="5" t="str">
        <f>IF($G390="","",INDEX('EDS Lookup'!$B$6:$B$2819,$G390))</f>
        <v/>
      </c>
      <c r="C390" s="17"/>
      <c r="D390" s="6"/>
      <c r="E390" s="7" t="str">
        <f>IF($G390="","",INDEX('EDS Lookup'!$F$6:$F$2819,$G390))</f>
        <v/>
      </c>
      <c r="F390" s="8" t="str">
        <f>IF($G390="","",INDEX('EDS Lookup'!$G$6:$G$2819,$G390))</f>
        <v/>
      </c>
      <c r="G390" t="str">
        <f>IF(367&lt;=$B$4,IFERROR(MATCH(367,'EDS Lookup'!$H$6:$H$2819,0),""),"")</f>
        <v/>
      </c>
      <c r="H390" t="str">
        <f t="shared" si="5"/>
        <v/>
      </c>
    </row>
    <row r="391" spans="1:8" ht="19.95" customHeight="1">
      <c r="A391" s="5" t="str">
        <f>IF($G391="","",INDEX('EDS Lookup'!$D$6:$D$2819,$G391))</f>
        <v/>
      </c>
      <c r="B391" s="5" t="str">
        <f>IF($G391="","",INDEX('EDS Lookup'!$B$6:$B$2819,$G391))</f>
        <v/>
      </c>
      <c r="C391" s="17"/>
      <c r="D391" s="6"/>
      <c r="E391" s="7" t="str">
        <f>IF($G391="","",INDEX('EDS Lookup'!$F$6:$F$2819,$G391))</f>
        <v/>
      </c>
      <c r="F391" s="8" t="str">
        <f>IF($G391="","",INDEX('EDS Lookup'!$G$6:$G$2819,$G391))</f>
        <v/>
      </c>
      <c r="G391" t="str">
        <f>IF(368&lt;=$B$4,IFERROR(MATCH(368,'EDS Lookup'!$H$6:$H$2819,0),""),"")</f>
        <v/>
      </c>
      <c r="H391" t="str">
        <f t="shared" si="5"/>
        <v/>
      </c>
    </row>
    <row r="392" spans="1:8" ht="19.95" customHeight="1">
      <c r="A392" s="5" t="str">
        <f>IF($G392="","",INDEX('EDS Lookup'!$D$6:$D$2819,$G392))</f>
        <v/>
      </c>
      <c r="B392" s="5" t="str">
        <f>IF($G392="","",INDEX('EDS Lookup'!$B$6:$B$2819,$G392))</f>
        <v/>
      </c>
      <c r="C392" s="17"/>
      <c r="D392" s="6"/>
      <c r="E392" s="7" t="str">
        <f>IF($G392="","",INDEX('EDS Lookup'!$F$6:$F$2819,$G392))</f>
        <v/>
      </c>
      <c r="F392" s="8" t="str">
        <f>IF($G392="","",INDEX('EDS Lookup'!$G$6:$G$2819,$G392))</f>
        <v/>
      </c>
      <c r="G392" t="str">
        <f>IF(369&lt;=$B$4,IFERROR(MATCH(369,'EDS Lookup'!$H$6:$H$2819,0),""),"")</f>
        <v/>
      </c>
      <c r="H392" t="str">
        <f t="shared" si="5"/>
        <v/>
      </c>
    </row>
    <row r="393" spans="1:8" ht="19.95" customHeight="1">
      <c r="A393" s="5" t="str">
        <f>IF($G393="","",INDEX('EDS Lookup'!$D$6:$D$2819,$G393))</f>
        <v/>
      </c>
      <c r="B393" s="5" t="str">
        <f>IF($G393="","",INDEX('EDS Lookup'!$B$6:$B$2819,$G393))</f>
        <v/>
      </c>
      <c r="C393" s="17"/>
      <c r="D393" s="6"/>
      <c r="E393" s="7" t="str">
        <f>IF($G393="","",INDEX('EDS Lookup'!$F$6:$F$2819,$G393))</f>
        <v/>
      </c>
      <c r="F393" s="8" t="str">
        <f>IF($G393="","",INDEX('EDS Lookup'!$G$6:$G$2819,$G393))</f>
        <v/>
      </c>
      <c r="G393" t="str">
        <f>IF(370&lt;=$B$4,IFERROR(MATCH(370,'EDS Lookup'!$H$6:$H$2819,0),""),"")</f>
        <v/>
      </c>
      <c r="H393" t="str">
        <f t="shared" si="5"/>
        <v/>
      </c>
    </row>
    <row r="394" spans="1:8" ht="19.95" customHeight="1">
      <c r="A394" s="5" t="str">
        <f>IF($G394="","",INDEX('EDS Lookup'!$D$6:$D$2819,$G394))</f>
        <v/>
      </c>
      <c r="B394" s="5" t="str">
        <f>IF($G394="","",INDEX('EDS Lookup'!$B$6:$B$2819,$G394))</f>
        <v/>
      </c>
      <c r="C394" s="17"/>
      <c r="D394" s="6"/>
      <c r="E394" s="7" t="str">
        <f>IF($G394="","",INDEX('EDS Lookup'!$F$6:$F$2819,$G394))</f>
        <v/>
      </c>
      <c r="F394" s="8" t="str">
        <f>IF($G394="","",INDEX('EDS Lookup'!$G$6:$G$2819,$G394))</f>
        <v/>
      </c>
      <c r="G394" t="str">
        <f>IF(371&lt;=$B$4,IFERROR(MATCH(371,'EDS Lookup'!$H$6:$H$2819,0),""),"")</f>
        <v/>
      </c>
      <c r="H394" t="str">
        <f t="shared" si="5"/>
        <v/>
      </c>
    </row>
    <row r="395" spans="1:8" ht="19.95" customHeight="1">
      <c r="A395" s="5" t="str">
        <f>IF($G395="","",INDEX('EDS Lookup'!$D$6:$D$2819,$G395))</f>
        <v/>
      </c>
      <c r="B395" s="5" t="str">
        <f>IF($G395="","",INDEX('EDS Lookup'!$B$6:$B$2819,$G395))</f>
        <v/>
      </c>
      <c r="C395" s="17"/>
      <c r="D395" s="6"/>
      <c r="E395" s="7" t="str">
        <f>IF($G395="","",INDEX('EDS Lookup'!$F$6:$F$2819,$G395))</f>
        <v/>
      </c>
      <c r="F395" s="8" t="str">
        <f>IF($G395="","",INDEX('EDS Lookup'!$G$6:$G$2819,$G395))</f>
        <v/>
      </c>
      <c r="G395" t="str">
        <f>IF(372&lt;=$B$4,IFERROR(MATCH(372,'EDS Lookup'!$H$6:$H$2819,0),""),"")</f>
        <v/>
      </c>
      <c r="H395" t="str">
        <f t="shared" si="5"/>
        <v/>
      </c>
    </row>
    <row r="396" spans="1:8" ht="19.95" customHeight="1">
      <c r="A396" s="5" t="str">
        <f>IF($G396="","",INDEX('EDS Lookup'!$D$6:$D$2819,$G396))</f>
        <v/>
      </c>
      <c r="B396" s="5" t="str">
        <f>IF($G396="","",INDEX('EDS Lookup'!$B$6:$B$2819,$G396))</f>
        <v/>
      </c>
      <c r="C396" s="17"/>
      <c r="D396" s="6"/>
      <c r="E396" s="7" t="str">
        <f>IF($G396="","",INDEX('EDS Lookup'!$F$6:$F$2819,$G396))</f>
        <v/>
      </c>
      <c r="F396" s="8" t="str">
        <f>IF($G396="","",INDEX('EDS Lookup'!$G$6:$G$2819,$G396))</f>
        <v/>
      </c>
      <c r="G396" t="str">
        <f>IF(373&lt;=$B$4,IFERROR(MATCH(373,'EDS Lookup'!$H$6:$H$2819,0),""),"")</f>
        <v/>
      </c>
      <c r="H396" t="str">
        <f t="shared" si="5"/>
        <v/>
      </c>
    </row>
    <row r="397" spans="1:8" ht="19.95" customHeight="1">
      <c r="A397" s="5" t="str">
        <f>IF($G397="","",INDEX('EDS Lookup'!$D$6:$D$2819,$G397))</f>
        <v/>
      </c>
      <c r="B397" s="5" t="str">
        <f>IF($G397="","",INDEX('EDS Lookup'!$B$6:$B$2819,$G397))</f>
        <v/>
      </c>
      <c r="C397" s="17"/>
      <c r="D397" s="6"/>
      <c r="E397" s="7" t="str">
        <f>IF($G397="","",INDEX('EDS Lookup'!$F$6:$F$2819,$G397))</f>
        <v/>
      </c>
      <c r="F397" s="8" t="str">
        <f>IF($G397="","",INDEX('EDS Lookup'!$G$6:$G$2819,$G397))</f>
        <v/>
      </c>
      <c r="G397" t="str">
        <f>IF(374&lt;=$B$4,IFERROR(MATCH(374,'EDS Lookup'!$H$6:$H$2819,0),""),"")</f>
        <v/>
      </c>
      <c r="H397" t="str">
        <f t="shared" si="5"/>
        <v/>
      </c>
    </row>
    <row r="398" spans="1:8" ht="19.95" customHeight="1">
      <c r="A398" s="5" t="str">
        <f>IF($G398="","",INDEX('EDS Lookup'!$D$6:$D$2819,$G398))</f>
        <v/>
      </c>
      <c r="B398" s="5" t="str">
        <f>IF($G398="","",INDEX('EDS Lookup'!$B$6:$B$2819,$G398))</f>
        <v/>
      </c>
      <c r="C398" s="17"/>
      <c r="D398" s="6"/>
      <c r="E398" s="7" t="str">
        <f>IF($G398="","",INDEX('EDS Lookup'!$F$6:$F$2819,$G398))</f>
        <v/>
      </c>
      <c r="F398" s="8" t="str">
        <f>IF($G398="","",INDEX('EDS Lookup'!$G$6:$G$2819,$G398))</f>
        <v/>
      </c>
      <c r="G398" t="str">
        <f>IF(375&lt;=$B$4,IFERROR(MATCH(375,'EDS Lookup'!$H$6:$H$2819,0),""),"")</f>
        <v/>
      </c>
      <c r="H398" t="str">
        <f t="shared" si="5"/>
        <v/>
      </c>
    </row>
    <row r="399" spans="1:8" ht="19.95" customHeight="1">
      <c r="A399" s="5" t="str">
        <f>IF($G399="","",INDEX('EDS Lookup'!$D$6:$D$2819,$G399))</f>
        <v/>
      </c>
      <c r="B399" s="5" t="str">
        <f>IF($G399="","",INDEX('EDS Lookup'!$B$6:$B$2819,$G399))</f>
        <v/>
      </c>
      <c r="C399" s="17"/>
      <c r="D399" s="6"/>
      <c r="E399" s="7" t="str">
        <f>IF($G399="","",INDEX('EDS Lookup'!$F$6:$F$2819,$G399))</f>
        <v/>
      </c>
      <c r="F399" s="8" t="str">
        <f>IF($G399="","",INDEX('EDS Lookup'!$G$6:$G$2819,$G399))</f>
        <v/>
      </c>
      <c r="G399" t="str">
        <f>IF(376&lt;=$B$4,IFERROR(MATCH(376,'EDS Lookup'!$H$6:$H$2819,0),""),"")</f>
        <v/>
      </c>
      <c r="H399" t="str">
        <f t="shared" si="5"/>
        <v/>
      </c>
    </row>
    <row r="400" spans="1:8" ht="19.95" customHeight="1">
      <c r="A400" s="5" t="str">
        <f>IF($G400="","",INDEX('EDS Lookup'!$D$6:$D$2819,$G400))</f>
        <v/>
      </c>
      <c r="B400" s="5" t="str">
        <f>IF($G400="","",INDEX('EDS Lookup'!$B$6:$B$2819,$G400))</f>
        <v/>
      </c>
      <c r="C400" s="17"/>
      <c r="D400" s="6"/>
      <c r="E400" s="7" t="str">
        <f>IF($G400="","",INDEX('EDS Lookup'!$F$6:$F$2819,$G400))</f>
        <v/>
      </c>
      <c r="F400" s="8" t="str">
        <f>IF($G400="","",INDEX('EDS Lookup'!$G$6:$G$2819,$G400))</f>
        <v/>
      </c>
      <c r="G400" t="str">
        <f>IF(377&lt;=$B$4,IFERROR(MATCH(377,'EDS Lookup'!$H$6:$H$2819,0),""),"")</f>
        <v/>
      </c>
      <c r="H400" t="str">
        <f t="shared" si="5"/>
        <v/>
      </c>
    </row>
    <row r="401" spans="1:8" ht="19.95" customHeight="1">
      <c r="A401" s="5" t="str">
        <f>IF($G401="","",INDEX('EDS Lookup'!$D$6:$D$2819,$G401))</f>
        <v/>
      </c>
      <c r="B401" s="5" t="str">
        <f>IF($G401="","",INDEX('EDS Lookup'!$B$6:$B$2819,$G401))</f>
        <v/>
      </c>
      <c r="C401" s="17"/>
      <c r="D401" s="6"/>
      <c r="E401" s="7" t="str">
        <f>IF($G401="","",INDEX('EDS Lookup'!$F$6:$F$2819,$G401))</f>
        <v/>
      </c>
      <c r="F401" s="8" t="str">
        <f>IF($G401="","",INDEX('EDS Lookup'!$G$6:$G$2819,$G401))</f>
        <v/>
      </c>
      <c r="G401" t="str">
        <f>IF(378&lt;=$B$4,IFERROR(MATCH(378,'EDS Lookup'!$H$6:$H$2819,0),""),"")</f>
        <v/>
      </c>
      <c r="H401" t="str">
        <f t="shared" si="5"/>
        <v/>
      </c>
    </row>
    <row r="402" spans="1:8" ht="19.95" customHeight="1">
      <c r="A402" s="5" t="str">
        <f>IF($G402="","",INDEX('EDS Lookup'!$D$6:$D$2819,$G402))</f>
        <v/>
      </c>
      <c r="B402" s="5" t="str">
        <f>IF($G402="","",INDEX('EDS Lookup'!$B$6:$B$2819,$G402))</f>
        <v/>
      </c>
      <c r="C402" s="17"/>
      <c r="D402" s="6"/>
      <c r="E402" s="7" t="str">
        <f>IF($G402="","",INDEX('EDS Lookup'!$F$6:$F$2819,$G402))</f>
        <v/>
      </c>
      <c r="F402" s="8" t="str">
        <f>IF($G402="","",INDEX('EDS Lookup'!$G$6:$G$2819,$G402))</f>
        <v/>
      </c>
      <c r="G402" t="str">
        <f>IF(379&lt;=$B$4,IFERROR(MATCH(379,'EDS Lookup'!$H$6:$H$2819,0),""),"")</f>
        <v/>
      </c>
      <c r="H402" t="str">
        <f t="shared" si="5"/>
        <v/>
      </c>
    </row>
    <row r="403" spans="1:8" ht="19.95" customHeight="1">
      <c r="A403" s="5" t="str">
        <f>IF($G403="","",INDEX('EDS Lookup'!$D$6:$D$2819,$G403))</f>
        <v/>
      </c>
      <c r="B403" s="5" t="str">
        <f>IF($G403="","",INDEX('EDS Lookup'!$B$6:$B$2819,$G403))</f>
        <v/>
      </c>
      <c r="C403" s="17"/>
      <c r="D403" s="6"/>
      <c r="E403" s="7" t="str">
        <f>IF($G403="","",INDEX('EDS Lookup'!$F$6:$F$2819,$G403))</f>
        <v/>
      </c>
      <c r="F403" s="8" t="str">
        <f>IF($G403="","",INDEX('EDS Lookup'!$G$6:$G$2819,$G403))</f>
        <v/>
      </c>
      <c r="G403" t="str">
        <f>IF(380&lt;=$B$4,IFERROR(MATCH(380,'EDS Lookup'!$H$6:$H$2819,0),""),"")</f>
        <v/>
      </c>
      <c r="H403" t="str">
        <f t="shared" si="5"/>
        <v/>
      </c>
    </row>
    <row r="404" spans="1:8" ht="19.95" customHeight="1">
      <c r="A404" s="5" t="str">
        <f>IF($G404="","",INDEX('EDS Lookup'!$D$6:$D$2819,$G404))</f>
        <v/>
      </c>
      <c r="B404" s="5" t="str">
        <f>IF($G404="","",INDEX('EDS Lookup'!$B$6:$B$2819,$G404))</f>
        <v/>
      </c>
      <c r="C404" s="17"/>
      <c r="D404" s="6"/>
      <c r="E404" s="7" t="str">
        <f>IF($G404="","",INDEX('EDS Lookup'!$F$6:$F$2819,$G404))</f>
        <v/>
      </c>
      <c r="F404" s="8" t="str">
        <f>IF($G404="","",INDEX('EDS Lookup'!$G$6:$G$2819,$G404))</f>
        <v/>
      </c>
      <c r="G404" t="str">
        <f>IF(381&lt;=$B$4,IFERROR(MATCH(381,'EDS Lookup'!$H$6:$H$2819,0),""),"")</f>
        <v/>
      </c>
      <c r="H404" t="str">
        <f t="shared" si="5"/>
        <v/>
      </c>
    </row>
    <row r="405" spans="1:8" ht="19.95" customHeight="1">
      <c r="A405" s="5" t="str">
        <f>IF($G405="","",INDEX('EDS Lookup'!$D$6:$D$2819,$G405))</f>
        <v/>
      </c>
      <c r="B405" s="5" t="str">
        <f>IF($G405="","",INDEX('EDS Lookup'!$B$6:$B$2819,$G405))</f>
        <v/>
      </c>
      <c r="C405" s="17"/>
      <c r="D405" s="6"/>
      <c r="E405" s="7" t="str">
        <f>IF($G405="","",INDEX('EDS Lookup'!$F$6:$F$2819,$G405))</f>
        <v/>
      </c>
      <c r="F405" s="8" t="str">
        <f>IF($G405="","",INDEX('EDS Lookup'!$G$6:$G$2819,$G405))</f>
        <v/>
      </c>
      <c r="G405" t="str">
        <f>IF(382&lt;=$B$4,IFERROR(MATCH(382,'EDS Lookup'!$H$6:$H$2819,0),""),"")</f>
        <v/>
      </c>
      <c r="H405" t="str">
        <f t="shared" si="5"/>
        <v/>
      </c>
    </row>
    <row r="406" spans="1:8" ht="19.95" customHeight="1">
      <c r="A406" s="5" t="str">
        <f>IF($G406="","",INDEX('EDS Lookup'!$D$6:$D$2819,$G406))</f>
        <v/>
      </c>
      <c r="B406" s="5" t="str">
        <f>IF($G406="","",INDEX('EDS Lookup'!$B$6:$B$2819,$G406))</f>
        <v/>
      </c>
      <c r="C406" s="17"/>
      <c r="D406" s="6"/>
      <c r="E406" s="7" t="str">
        <f>IF($G406="","",INDEX('EDS Lookup'!$F$6:$F$2819,$G406))</f>
        <v/>
      </c>
      <c r="F406" s="8" t="str">
        <f>IF($G406="","",INDEX('EDS Lookup'!$G$6:$G$2819,$G406))</f>
        <v/>
      </c>
      <c r="G406" t="str">
        <f>IF(383&lt;=$B$4,IFERROR(MATCH(383,'EDS Lookup'!$H$6:$H$2819,0),""),"")</f>
        <v/>
      </c>
      <c r="H406" t="str">
        <f t="shared" si="5"/>
        <v/>
      </c>
    </row>
    <row r="407" spans="1:8" ht="19.95" customHeight="1">
      <c r="A407" s="5" t="str">
        <f>IF($G407="","",INDEX('EDS Lookup'!$D$6:$D$2819,$G407))</f>
        <v/>
      </c>
      <c r="B407" s="5" t="str">
        <f>IF($G407="","",INDEX('EDS Lookup'!$B$6:$B$2819,$G407))</f>
        <v/>
      </c>
      <c r="C407" s="17"/>
      <c r="D407" s="6"/>
      <c r="E407" s="7" t="str">
        <f>IF($G407="","",INDEX('EDS Lookup'!$F$6:$F$2819,$G407))</f>
        <v/>
      </c>
      <c r="F407" s="8" t="str">
        <f>IF($G407="","",INDEX('EDS Lookup'!$G$6:$G$2819,$G407))</f>
        <v/>
      </c>
      <c r="G407" t="str">
        <f>IF(384&lt;=$B$4,IFERROR(MATCH(384,'EDS Lookup'!$H$6:$H$2819,0),""),"")</f>
        <v/>
      </c>
      <c r="H407" t="str">
        <f t="shared" si="5"/>
        <v/>
      </c>
    </row>
    <row r="408" spans="1:8" ht="19.95" customHeight="1">
      <c r="A408" s="5" t="str">
        <f>IF($G408="","",INDEX('EDS Lookup'!$D$6:$D$2819,$G408))</f>
        <v/>
      </c>
      <c r="B408" s="5" t="str">
        <f>IF($G408="","",INDEX('EDS Lookup'!$B$6:$B$2819,$G408))</f>
        <v/>
      </c>
      <c r="C408" s="17"/>
      <c r="D408" s="6"/>
      <c r="E408" s="7" t="str">
        <f>IF($G408="","",INDEX('EDS Lookup'!$F$6:$F$2819,$G408))</f>
        <v/>
      </c>
      <c r="F408" s="8" t="str">
        <f>IF($G408="","",INDEX('EDS Lookup'!$G$6:$G$2819,$G408))</f>
        <v/>
      </c>
      <c r="G408" t="str">
        <f>IF(385&lt;=$B$4,IFERROR(MATCH(385,'EDS Lookup'!$H$6:$H$2819,0),""),"")</f>
        <v/>
      </c>
      <c r="H408" t="str">
        <f t="shared" ref="H408:H471" si="6">IF(F408="&lt;5",5,IF(F408="&gt;95",95,IF(ISNUMBER(F408),F408,"")))</f>
        <v/>
      </c>
    </row>
    <row r="409" spans="1:8" ht="19.95" customHeight="1">
      <c r="A409" s="5" t="str">
        <f>IF($G409="","",INDEX('EDS Lookup'!$D$6:$D$2819,$G409))</f>
        <v/>
      </c>
      <c r="B409" s="5" t="str">
        <f>IF($G409="","",INDEX('EDS Lookup'!$B$6:$B$2819,$G409))</f>
        <v/>
      </c>
      <c r="C409" s="17"/>
      <c r="D409" s="6"/>
      <c r="E409" s="7" t="str">
        <f>IF($G409="","",INDEX('EDS Lookup'!$F$6:$F$2819,$G409))</f>
        <v/>
      </c>
      <c r="F409" s="8" t="str">
        <f>IF($G409="","",INDEX('EDS Lookup'!$G$6:$G$2819,$G409))</f>
        <v/>
      </c>
      <c r="G409" t="str">
        <f>IF(386&lt;=$B$4,IFERROR(MATCH(386,'EDS Lookup'!$H$6:$H$2819,0),""),"")</f>
        <v/>
      </c>
      <c r="H409" t="str">
        <f t="shared" si="6"/>
        <v/>
      </c>
    </row>
    <row r="410" spans="1:8" ht="19.95" customHeight="1">
      <c r="A410" s="5" t="str">
        <f>IF($G410="","",INDEX('EDS Lookup'!$D$6:$D$2819,$G410))</f>
        <v/>
      </c>
      <c r="B410" s="5" t="str">
        <f>IF($G410="","",INDEX('EDS Lookup'!$B$6:$B$2819,$G410))</f>
        <v/>
      </c>
      <c r="C410" s="17"/>
      <c r="D410" s="6"/>
      <c r="E410" s="7" t="str">
        <f>IF($G410="","",INDEX('EDS Lookup'!$F$6:$F$2819,$G410))</f>
        <v/>
      </c>
      <c r="F410" s="8" t="str">
        <f>IF($G410="","",INDEX('EDS Lookup'!$G$6:$G$2819,$G410))</f>
        <v/>
      </c>
      <c r="G410" t="str">
        <f>IF(387&lt;=$B$4,IFERROR(MATCH(387,'EDS Lookup'!$H$6:$H$2819,0),""),"")</f>
        <v/>
      </c>
      <c r="H410" t="str">
        <f t="shared" si="6"/>
        <v/>
      </c>
    </row>
    <row r="411" spans="1:8" ht="19.95" customHeight="1">
      <c r="A411" s="5" t="str">
        <f>IF($G411="","",INDEX('EDS Lookup'!$D$6:$D$2819,$G411))</f>
        <v/>
      </c>
      <c r="B411" s="5" t="str">
        <f>IF($G411="","",INDEX('EDS Lookup'!$B$6:$B$2819,$G411))</f>
        <v/>
      </c>
      <c r="C411" s="17"/>
      <c r="D411" s="6"/>
      <c r="E411" s="7" t="str">
        <f>IF($G411="","",INDEX('EDS Lookup'!$F$6:$F$2819,$G411))</f>
        <v/>
      </c>
      <c r="F411" s="8" t="str">
        <f>IF($G411="","",INDEX('EDS Lookup'!$G$6:$G$2819,$G411))</f>
        <v/>
      </c>
      <c r="G411" t="str">
        <f>IF(388&lt;=$B$4,IFERROR(MATCH(388,'EDS Lookup'!$H$6:$H$2819,0),""),"")</f>
        <v/>
      </c>
      <c r="H411" t="str">
        <f t="shared" si="6"/>
        <v/>
      </c>
    </row>
    <row r="412" spans="1:8" ht="19.95" customHeight="1">
      <c r="A412" s="5" t="str">
        <f>IF($G412="","",INDEX('EDS Lookup'!$D$6:$D$2819,$G412))</f>
        <v/>
      </c>
      <c r="B412" s="5" t="str">
        <f>IF($G412="","",INDEX('EDS Lookup'!$B$6:$B$2819,$G412))</f>
        <v/>
      </c>
      <c r="C412" s="17"/>
      <c r="D412" s="6"/>
      <c r="E412" s="7" t="str">
        <f>IF($G412="","",INDEX('EDS Lookup'!$F$6:$F$2819,$G412))</f>
        <v/>
      </c>
      <c r="F412" s="8" t="str">
        <f>IF($G412="","",INDEX('EDS Lookup'!$G$6:$G$2819,$G412))</f>
        <v/>
      </c>
      <c r="G412" t="str">
        <f>IF(389&lt;=$B$4,IFERROR(MATCH(389,'EDS Lookup'!$H$6:$H$2819,0),""),"")</f>
        <v/>
      </c>
      <c r="H412" t="str">
        <f t="shared" si="6"/>
        <v/>
      </c>
    </row>
    <row r="413" spans="1:8" ht="19.95" customHeight="1">
      <c r="A413" s="5" t="str">
        <f>IF($G413="","",INDEX('EDS Lookup'!$D$6:$D$2819,$G413))</f>
        <v/>
      </c>
      <c r="B413" s="5" t="str">
        <f>IF($G413="","",INDEX('EDS Lookup'!$B$6:$B$2819,$G413))</f>
        <v/>
      </c>
      <c r="C413" s="17"/>
      <c r="D413" s="6"/>
      <c r="E413" s="7" t="str">
        <f>IF($G413="","",INDEX('EDS Lookup'!$F$6:$F$2819,$G413))</f>
        <v/>
      </c>
      <c r="F413" s="8" t="str">
        <f>IF($G413="","",INDEX('EDS Lookup'!$G$6:$G$2819,$G413))</f>
        <v/>
      </c>
      <c r="G413" t="str">
        <f>IF(390&lt;=$B$4,IFERROR(MATCH(390,'EDS Lookup'!$H$6:$H$2819,0),""),"")</f>
        <v/>
      </c>
      <c r="H413" t="str">
        <f t="shared" si="6"/>
        <v/>
      </c>
    </row>
    <row r="414" spans="1:8" ht="19.95" customHeight="1">
      <c r="A414" s="5" t="str">
        <f>IF($G414="","",INDEX('EDS Lookup'!$D$6:$D$2819,$G414))</f>
        <v/>
      </c>
      <c r="B414" s="5" t="str">
        <f>IF($G414="","",INDEX('EDS Lookup'!$B$6:$B$2819,$G414))</f>
        <v/>
      </c>
      <c r="C414" s="17"/>
      <c r="D414" s="6"/>
      <c r="E414" s="7" t="str">
        <f>IF($G414="","",INDEX('EDS Lookup'!$F$6:$F$2819,$G414))</f>
        <v/>
      </c>
      <c r="F414" s="8" t="str">
        <f>IF($G414="","",INDEX('EDS Lookup'!$G$6:$G$2819,$G414))</f>
        <v/>
      </c>
      <c r="G414" t="str">
        <f>IF(391&lt;=$B$4,IFERROR(MATCH(391,'EDS Lookup'!$H$6:$H$2819,0),""),"")</f>
        <v/>
      </c>
      <c r="H414" t="str">
        <f t="shared" si="6"/>
        <v/>
      </c>
    </row>
    <row r="415" spans="1:8" ht="19.95" customHeight="1">
      <c r="A415" s="5" t="str">
        <f>IF($G415="","",INDEX('EDS Lookup'!$D$6:$D$2819,$G415))</f>
        <v/>
      </c>
      <c r="B415" s="5" t="str">
        <f>IF($G415="","",INDEX('EDS Lookup'!$B$6:$B$2819,$G415))</f>
        <v/>
      </c>
      <c r="C415" s="17"/>
      <c r="D415" s="6"/>
      <c r="E415" s="7" t="str">
        <f>IF($G415="","",INDEX('EDS Lookup'!$F$6:$F$2819,$G415))</f>
        <v/>
      </c>
      <c r="F415" s="8" t="str">
        <f>IF($G415="","",INDEX('EDS Lookup'!$G$6:$G$2819,$G415))</f>
        <v/>
      </c>
      <c r="G415" t="str">
        <f>IF(392&lt;=$B$4,IFERROR(MATCH(392,'EDS Lookup'!$H$6:$H$2819,0),""),"")</f>
        <v/>
      </c>
      <c r="H415" t="str">
        <f t="shared" si="6"/>
        <v/>
      </c>
    </row>
    <row r="416" spans="1:8" ht="19.95" customHeight="1">
      <c r="A416" s="5" t="str">
        <f>IF($G416="","",INDEX('EDS Lookup'!$D$6:$D$2819,$G416))</f>
        <v/>
      </c>
      <c r="B416" s="5" t="str">
        <f>IF($G416="","",INDEX('EDS Lookup'!$B$6:$B$2819,$G416))</f>
        <v/>
      </c>
      <c r="C416" s="17"/>
      <c r="D416" s="6"/>
      <c r="E416" s="7" t="str">
        <f>IF($G416="","",INDEX('EDS Lookup'!$F$6:$F$2819,$G416))</f>
        <v/>
      </c>
      <c r="F416" s="8" t="str">
        <f>IF($G416="","",INDEX('EDS Lookup'!$G$6:$G$2819,$G416))</f>
        <v/>
      </c>
      <c r="G416" t="str">
        <f>IF(393&lt;=$B$4,IFERROR(MATCH(393,'EDS Lookup'!$H$6:$H$2819,0),""),"")</f>
        <v/>
      </c>
      <c r="H416" t="str">
        <f t="shared" si="6"/>
        <v/>
      </c>
    </row>
    <row r="417" spans="1:8" ht="19.95" customHeight="1">
      <c r="A417" s="5" t="str">
        <f>IF($G417="","",INDEX('EDS Lookup'!$D$6:$D$2819,$G417))</f>
        <v/>
      </c>
      <c r="B417" s="5" t="str">
        <f>IF($G417="","",INDEX('EDS Lookup'!$B$6:$B$2819,$G417))</f>
        <v/>
      </c>
      <c r="C417" s="17"/>
      <c r="D417" s="6"/>
      <c r="E417" s="7" t="str">
        <f>IF($G417="","",INDEX('EDS Lookup'!$F$6:$F$2819,$G417))</f>
        <v/>
      </c>
      <c r="F417" s="8" t="str">
        <f>IF($G417="","",INDEX('EDS Lookup'!$G$6:$G$2819,$G417))</f>
        <v/>
      </c>
      <c r="G417" t="str">
        <f>IF(394&lt;=$B$4,IFERROR(MATCH(394,'EDS Lookup'!$H$6:$H$2819,0),""),"")</f>
        <v/>
      </c>
      <c r="H417" t="str">
        <f t="shared" si="6"/>
        <v/>
      </c>
    </row>
    <row r="418" spans="1:8" ht="19.95" customHeight="1">
      <c r="A418" s="5" t="str">
        <f>IF($G418="","",INDEX('EDS Lookup'!$D$6:$D$2819,$G418))</f>
        <v/>
      </c>
      <c r="B418" s="5" t="str">
        <f>IF($G418="","",INDEX('EDS Lookup'!$B$6:$B$2819,$G418))</f>
        <v/>
      </c>
      <c r="C418" s="17"/>
      <c r="D418" s="6"/>
      <c r="E418" s="7" t="str">
        <f>IF($G418="","",INDEX('EDS Lookup'!$F$6:$F$2819,$G418))</f>
        <v/>
      </c>
      <c r="F418" s="8" t="str">
        <f>IF($G418="","",INDEX('EDS Lookup'!$G$6:$G$2819,$G418))</f>
        <v/>
      </c>
      <c r="G418" t="str">
        <f>IF(395&lt;=$B$4,IFERROR(MATCH(395,'EDS Lookup'!$H$6:$H$2819,0),""),"")</f>
        <v/>
      </c>
      <c r="H418" t="str">
        <f t="shared" si="6"/>
        <v/>
      </c>
    </row>
    <row r="419" spans="1:8" ht="19.95" customHeight="1">
      <c r="A419" s="5" t="str">
        <f>IF($G419="","",INDEX('EDS Lookup'!$D$6:$D$2819,$G419))</f>
        <v/>
      </c>
      <c r="B419" s="5" t="str">
        <f>IF($G419="","",INDEX('EDS Lookup'!$B$6:$B$2819,$G419))</f>
        <v/>
      </c>
      <c r="C419" s="17"/>
      <c r="D419" s="6"/>
      <c r="E419" s="7" t="str">
        <f>IF($G419="","",INDEX('EDS Lookup'!$F$6:$F$2819,$G419))</f>
        <v/>
      </c>
      <c r="F419" s="8" t="str">
        <f>IF($G419="","",INDEX('EDS Lookup'!$G$6:$G$2819,$G419))</f>
        <v/>
      </c>
      <c r="G419" t="str">
        <f>IF(396&lt;=$B$4,IFERROR(MATCH(396,'EDS Lookup'!$H$6:$H$2819,0),""),"")</f>
        <v/>
      </c>
      <c r="H419" t="str">
        <f t="shared" si="6"/>
        <v/>
      </c>
    </row>
    <row r="420" spans="1:8" ht="19.95" customHeight="1">
      <c r="A420" s="5" t="str">
        <f>IF($G420="","",INDEX('EDS Lookup'!$D$6:$D$2819,$G420))</f>
        <v/>
      </c>
      <c r="B420" s="5" t="str">
        <f>IF($G420="","",INDEX('EDS Lookup'!$B$6:$B$2819,$G420))</f>
        <v/>
      </c>
      <c r="C420" s="17"/>
      <c r="D420" s="6"/>
      <c r="E420" s="7" t="str">
        <f>IF($G420="","",INDEX('EDS Lookup'!$F$6:$F$2819,$G420))</f>
        <v/>
      </c>
      <c r="F420" s="8" t="str">
        <f>IF($G420="","",INDEX('EDS Lookup'!$G$6:$G$2819,$G420))</f>
        <v/>
      </c>
      <c r="G420" t="str">
        <f>IF(397&lt;=$B$4,IFERROR(MATCH(397,'EDS Lookup'!$H$6:$H$2819,0),""),"")</f>
        <v/>
      </c>
      <c r="H420" t="str">
        <f t="shared" si="6"/>
        <v/>
      </c>
    </row>
    <row r="421" spans="1:8" ht="19.95" customHeight="1">
      <c r="A421" s="5" t="str">
        <f>IF($G421="","",INDEX('EDS Lookup'!$D$6:$D$2819,$G421))</f>
        <v/>
      </c>
      <c r="B421" s="5" t="str">
        <f>IF($G421="","",INDEX('EDS Lookup'!$B$6:$B$2819,$G421))</f>
        <v/>
      </c>
      <c r="C421" s="17"/>
      <c r="D421" s="6"/>
      <c r="E421" s="7" t="str">
        <f>IF($G421="","",INDEX('EDS Lookup'!$F$6:$F$2819,$G421))</f>
        <v/>
      </c>
      <c r="F421" s="8" t="str">
        <f>IF($G421="","",INDEX('EDS Lookup'!$G$6:$G$2819,$G421))</f>
        <v/>
      </c>
      <c r="G421" t="str">
        <f>IF(398&lt;=$B$4,IFERROR(MATCH(398,'EDS Lookup'!$H$6:$H$2819,0),""),"")</f>
        <v/>
      </c>
      <c r="H421" t="str">
        <f t="shared" si="6"/>
        <v/>
      </c>
    </row>
    <row r="422" spans="1:8" ht="19.95" customHeight="1">
      <c r="A422" s="5" t="str">
        <f>IF($G422="","",INDEX('EDS Lookup'!$D$6:$D$2819,$G422))</f>
        <v/>
      </c>
      <c r="B422" s="5" t="str">
        <f>IF($G422="","",INDEX('EDS Lookup'!$B$6:$B$2819,$G422))</f>
        <v/>
      </c>
      <c r="C422" s="17"/>
      <c r="D422" s="6"/>
      <c r="E422" s="7" t="str">
        <f>IF($G422="","",INDEX('EDS Lookup'!$F$6:$F$2819,$G422))</f>
        <v/>
      </c>
      <c r="F422" s="8" t="str">
        <f>IF($G422="","",INDEX('EDS Lookup'!$G$6:$G$2819,$G422))</f>
        <v/>
      </c>
      <c r="G422" t="str">
        <f>IF(399&lt;=$B$4,IFERROR(MATCH(399,'EDS Lookup'!$H$6:$H$2819,0),""),"")</f>
        <v/>
      </c>
      <c r="H422" t="str">
        <f t="shared" si="6"/>
        <v/>
      </c>
    </row>
    <row r="423" spans="1:8" ht="19.95" customHeight="1">
      <c r="A423" s="5" t="str">
        <f>IF($G423="","",INDEX('EDS Lookup'!$D$6:$D$2819,$G423))</f>
        <v/>
      </c>
      <c r="B423" s="5" t="str">
        <f>IF($G423="","",INDEX('EDS Lookup'!$B$6:$B$2819,$G423))</f>
        <v/>
      </c>
      <c r="C423" s="17"/>
      <c r="D423" s="6"/>
      <c r="E423" s="7" t="str">
        <f>IF($G423="","",INDEX('EDS Lookup'!$F$6:$F$2819,$G423))</f>
        <v/>
      </c>
      <c r="F423" s="8" t="str">
        <f>IF($G423="","",INDEX('EDS Lookup'!$G$6:$G$2819,$G423))</f>
        <v/>
      </c>
      <c r="G423" t="str">
        <f>IF(400&lt;=$B$4,IFERROR(MATCH(400,'EDS Lookup'!$H$6:$H$2819,0),""),"")</f>
        <v/>
      </c>
      <c r="H423" t="str">
        <f t="shared" si="6"/>
        <v/>
      </c>
    </row>
    <row r="424" spans="1:8" ht="19.95" customHeight="1">
      <c r="A424" s="5" t="str">
        <f>IF($G424="","",INDEX('EDS Lookup'!$D$6:$D$2819,$G424))</f>
        <v/>
      </c>
      <c r="B424" s="5" t="str">
        <f>IF($G424="","",INDEX('EDS Lookup'!$B$6:$B$2819,$G424))</f>
        <v/>
      </c>
      <c r="C424" s="17"/>
      <c r="D424" s="6"/>
      <c r="E424" s="7" t="str">
        <f>IF($G424="","",INDEX('EDS Lookup'!$F$6:$F$2819,$G424))</f>
        <v/>
      </c>
      <c r="F424" s="8" t="str">
        <f>IF($G424="","",INDEX('EDS Lookup'!$G$6:$G$2819,$G424))</f>
        <v/>
      </c>
      <c r="G424" t="str">
        <f>IF(401&lt;=$B$4,IFERROR(MATCH(401,'EDS Lookup'!$H$6:$H$2819,0),""),"")</f>
        <v/>
      </c>
      <c r="H424" t="str">
        <f t="shared" si="6"/>
        <v/>
      </c>
    </row>
    <row r="425" spans="1:8" ht="19.95" customHeight="1">
      <c r="A425" s="5" t="str">
        <f>IF($G425="","",INDEX('EDS Lookup'!$D$6:$D$2819,$G425))</f>
        <v/>
      </c>
      <c r="B425" s="5" t="str">
        <f>IF($G425="","",INDEX('EDS Lookup'!$B$6:$B$2819,$G425))</f>
        <v/>
      </c>
      <c r="C425" s="17"/>
      <c r="D425" s="6"/>
      <c r="E425" s="7" t="str">
        <f>IF($G425="","",INDEX('EDS Lookup'!$F$6:$F$2819,$G425))</f>
        <v/>
      </c>
      <c r="F425" s="8" t="str">
        <f>IF($G425="","",INDEX('EDS Lookup'!$G$6:$G$2819,$G425))</f>
        <v/>
      </c>
      <c r="G425" t="str">
        <f>IF(402&lt;=$B$4,IFERROR(MATCH(402,'EDS Lookup'!$H$6:$H$2819,0),""),"")</f>
        <v/>
      </c>
      <c r="H425" t="str">
        <f t="shared" si="6"/>
        <v/>
      </c>
    </row>
    <row r="426" spans="1:8" ht="19.95" customHeight="1">
      <c r="A426" s="5" t="str">
        <f>IF($G426="","",INDEX('EDS Lookup'!$D$6:$D$2819,$G426))</f>
        <v/>
      </c>
      <c r="B426" s="5" t="str">
        <f>IF($G426="","",INDEX('EDS Lookup'!$B$6:$B$2819,$G426))</f>
        <v/>
      </c>
      <c r="C426" s="17"/>
      <c r="D426" s="6"/>
      <c r="E426" s="7" t="str">
        <f>IF($G426="","",INDEX('EDS Lookup'!$F$6:$F$2819,$G426))</f>
        <v/>
      </c>
      <c r="F426" s="8" t="str">
        <f>IF($G426="","",INDEX('EDS Lookup'!$G$6:$G$2819,$G426))</f>
        <v/>
      </c>
      <c r="G426" t="str">
        <f>IF(403&lt;=$B$4,IFERROR(MATCH(403,'EDS Lookup'!$H$6:$H$2819,0),""),"")</f>
        <v/>
      </c>
      <c r="H426" t="str">
        <f t="shared" si="6"/>
        <v/>
      </c>
    </row>
    <row r="427" spans="1:8" ht="19.95" customHeight="1">
      <c r="A427" s="5" t="str">
        <f>IF($G427="","",INDEX('EDS Lookup'!$D$6:$D$2819,$G427))</f>
        <v/>
      </c>
      <c r="B427" s="5" t="str">
        <f>IF($G427="","",INDEX('EDS Lookup'!$B$6:$B$2819,$G427))</f>
        <v/>
      </c>
      <c r="C427" s="17"/>
      <c r="D427" s="6"/>
      <c r="E427" s="7" t="str">
        <f>IF($G427="","",INDEX('EDS Lookup'!$F$6:$F$2819,$G427))</f>
        <v/>
      </c>
      <c r="F427" s="8" t="str">
        <f>IF($G427="","",INDEX('EDS Lookup'!$G$6:$G$2819,$G427))</f>
        <v/>
      </c>
      <c r="G427" t="str">
        <f>IF(404&lt;=$B$4,IFERROR(MATCH(404,'EDS Lookup'!$H$6:$H$2819,0),""),"")</f>
        <v/>
      </c>
      <c r="H427" t="str">
        <f t="shared" si="6"/>
        <v/>
      </c>
    </row>
    <row r="428" spans="1:8" ht="19.95" customHeight="1">
      <c r="A428" s="5" t="str">
        <f>IF($G428="","",INDEX('EDS Lookup'!$D$6:$D$2819,$G428))</f>
        <v/>
      </c>
      <c r="B428" s="5" t="str">
        <f>IF($G428="","",INDEX('EDS Lookup'!$B$6:$B$2819,$G428))</f>
        <v/>
      </c>
      <c r="C428" s="17"/>
      <c r="D428" s="6"/>
      <c r="E428" s="7" t="str">
        <f>IF($G428="","",INDEX('EDS Lookup'!$F$6:$F$2819,$G428))</f>
        <v/>
      </c>
      <c r="F428" s="8" t="str">
        <f>IF($G428="","",INDEX('EDS Lookup'!$G$6:$G$2819,$G428))</f>
        <v/>
      </c>
      <c r="G428" t="str">
        <f>IF(405&lt;=$B$4,IFERROR(MATCH(405,'EDS Lookup'!$H$6:$H$2819,0),""),"")</f>
        <v/>
      </c>
      <c r="H428" t="str">
        <f t="shared" si="6"/>
        <v/>
      </c>
    </row>
    <row r="429" spans="1:8" ht="19.95" customHeight="1">
      <c r="A429" s="5" t="str">
        <f>IF($G429="","",INDEX('EDS Lookup'!$D$6:$D$2819,$G429))</f>
        <v/>
      </c>
      <c r="B429" s="5" t="str">
        <f>IF($G429="","",INDEX('EDS Lookup'!$B$6:$B$2819,$G429))</f>
        <v/>
      </c>
      <c r="C429" s="17"/>
      <c r="D429" s="6"/>
      <c r="E429" s="7" t="str">
        <f>IF($G429="","",INDEX('EDS Lookup'!$F$6:$F$2819,$G429))</f>
        <v/>
      </c>
      <c r="F429" s="8" t="str">
        <f>IF($G429="","",INDEX('EDS Lookup'!$G$6:$G$2819,$G429))</f>
        <v/>
      </c>
      <c r="G429" t="str">
        <f>IF(406&lt;=$B$4,IFERROR(MATCH(406,'EDS Lookup'!$H$6:$H$2819,0),""),"")</f>
        <v/>
      </c>
      <c r="H429" t="str">
        <f t="shared" si="6"/>
        <v/>
      </c>
    </row>
    <row r="430" spans="1:8" ht="19.95" customHeight="1">
      <c r="A430" s="5" t="str">
        <f>IF($G430="","",INDEX('EDS Lookup'!$D$6:$D$2819,$G430))</f>
        <v/>
      </c>
      <c r="B430" s="5" t="str">
        <f>IF($G430="","",INDEX('EDS Lookup'!$B$6:$B$2819,$G430))</f>
        <v/>
      </c>
      <c r="C430" s="17"/>
      <c r="D430" s="6"/>
      <c r="E430" s="7" t="str">
        <f>IF($G430="","",INDEX('EDS Lookup'!$F$6:$F$2819,$G430))</f>
        <v/>
      </c>
      <c r="F430" s="8" t="str">
        <f>IF($G430="","",INDEX('EDS Lookup'!$G$6:$G$2819,$G430))</f>
        <v/>
      </c>
      <c r="G430" t="str">
        <f>IF(407&lt;=$B$4,IFERROR(MATCH(407,'EDS Lookup'!$H$6:$H$2819,0),""),"")</f>
        <v/>
      </c>
      <c r="H430" t="str">
        <f t="shared" si="6"/>
        <v/>
      </c>
    </row>
    <row r="431" spans="1:8" ht="19.95" customHeight="1">
      <c r="A431" s="5" t="str">
        <f>IF($G431="","",INDEX('EDS Lookup'!$D$6:$D$2819,$G431))</f>
        <v/>
      </c>
      <c r="B431" s="5" t="str">
        <f>IF($G431="","",INDEX('EDS Lookup'!$B$6:$B$2819,$G431))</f>
        <v/>
      </c>
      <c r="C431" s="17"/>
      <c r="D431" s="6"/>
      <c r="E431" s="7" t="str">
        <f>IF($G431="","",INDEX('EDS Lookup'!$F$6:$F$2819,$G431))</f>
        <v/>
      </c>
      <c r="F431" s="8" t="str">
        <f>IF($G431="","",INDEX('EDS Lookup'!$G$6:$G$2819,$G431))</f>
        <v/>
      </c>
      <c r="G431" t="str">
        <f>IF(408&lt;=$B$4,IFERROR(MATCH(408,'EDS Lookup'!$H$6:$H$2819,0),""),"")</f>
        <v/>
      </c>
      <c r="H431" t="str">
        <f t="shared" si="6"/>
        <v/>
      </c>
    </row>
    <row r="432" spans="1:8" ht="19.95" customHeight="1">
      <c r="A432" s="5" t="str">
        <f>IF($G432="","",INDEX('EDS Lookup'!$D$6:$D$2819,$G432))</f>
        <v/>
      </c>
      <c r="B432" s="5" t="str">
        <f>IF($G432="","",INDEX('EDS Lookup'!$B$6:$B$2819,$G432))</f>
        <v/>
      </c>
      <c r="C432" s="17"/>
      <c r="D432" s="6"/>
      <c r="E432" s="7" t="str">
        <f>IF($G432="","",INDEX('EDS Lookup'!$F$6:$F$2819,$G432))</f>
        <v/>
      </c>
      <c r="F432" s="8" t="str">
        <f>IF($G432="","",INDEX('EDS Lookup'!$G$6:$G$2819,$G432))</f>
        <v/>
      </c>
      <c r="G432" t="str">
        <f>IF(409&lt;=$B$4,IFERROR(MATCH(409,'EDS Lookup'!$H$6:$H$2819,0),""),"")</f>
        <v/>
      </c>
      <c r="H432" t="str">
        <f t="shared" si="6"/>
        <v/>
      </c>
    </row>
    <row r="433" spans="1:8" ht="19.95" customHeight="1">
      <c r="A433" s="5" t="str">
        <f>IF($G433="","",INDEX('EDS Lookup'!$D$6:$D$2819,$G433))</f>
        <v/>
      </c>
      <c r="B433" s="5" t="str">
        <f>IF($G433="","",INDEX('EDS Lookup'!$B$6:$B$2819,$G433))</f>
        <v/>
      </c>
      <c r="C433" s="17"/>
      <c r="D433" s="6"/>
      <c r="E433" s="7" t="str">
        <f>IF($G433="","",INDEX('EDS Lookup'!$F$6:$F$2819,$G433))</f>
        <v/>
      </c>
      <c r="F433" s="8" t="str">
        <f>IF($G433="","",INDEX('EDS Lookup'!$G$6:$G$2819,$G433))</f>
        <v/>
      </c>
      <c r="G433" t="str">
        <f>IF(410&lt;=$B$4,IFERROR(MATCH(410,'EDS Lookup'!$H$6:$H$2819,0),""),"")</f>
        <v/>
      </c>
      <c r="H433" t="str">
        <f t="shared" si="6"/>
        <v/>
      </c>
    </row>
    <row r="434" spans="1:8" ht="19.95" customHeight="1">
      <c r="A434" s="5" t="str">
        <f>IF($G434="","",INDEX('EDS Lookup'!$D$6:$D$2819,$G434))</f>
        <v/>
      </c>
      <c r="B434" s="5" t="str">
        <f>IF($G434="","",INDEX('EDS Lookup'!$B$6:$B$2819,$G434))</f>
        <v/>
      </c>
      <c r="C434" s="17"/>
      <c r="D434" s="6"/>
      <c r="E434" s="7" t="str">
        <f>IF($G434="","",INDEX('EDS Lookup'!$F$6:$F$2819,$G434))</f>
        <v/>
      </c>
      <c r="F434" s="8" t="str">
        <f>IF($G434="","",INDEX('EDS Lookup'!$G$6:$G$2819,$G434))</f>
        <v/>
      </c>
      <c r="G434" t="str">
        <f>IF(411&lt;=$B$4,IFERROR(MATCH(411,'EDS Lookup'!$H$6:$H$2819,0),""),"")</f>
        <v/>
      </c>
      <c r="H434" t="str">
        <f t="shared" si="6"/>
        <v/>
      </c>
    </row>
    <row r="435" spans="1:8" ht="19.95" customHeight="1">
      <c r="A435" s="5" t="str">
        <f>IF($G435="","",INDEX('EDS Lookup'!$D$6:$D$2819,$G435))</f>
        <v/>
      </c>
      <c r="B435" s="5" t="str">
        <f>IF($G435="","",INDEX('EDS Lookup'!$B$6:$B$2819,$G435))</f>
        <v/>
      </c>
      <c r="C435" s="17"/>
      <c r="D435" s="6"/>
      <c r="E435" s="7" t="str">
        <f>IF($G435="","",INDEX('EDS Lookup'!$F$6:$F$2819,$G435))</f>
        <v/>
      </c>
      <c r="F435" s="8" t="str">
        <f>IF($G435="","",INDEX('EDS Lookup'!$G$6:$G$2819,$G435))</f>
        <v/>
      </c>
      <c r="G435" t="str">
        <f>IF(412&lt;=$B$4,IFERROR(MATCH(412,'EDS Lookup'!$H$6:$H$2819,0),""),"")</f>
        <v/>
      </c>
      <c r="H435" t="str">
        <f t="shared" si="6"/>
        <v/>
      </c>
    </row>
    <row r="436" spans="1:8" ht="19.95" customHeight="1">
      <c r="A436" s="5" t="str">
        <f>IF($G436="","",INDEX('EDS Lookup'!$D$6:$D$2819,$G436))</f>
        <v/>
      </c>
      <c r="B436" s="5" t="str">
        <f>IF($G436="","",INDEX('EDS Lookup'!$B$6:$B$2819,$G436))</f>
        <v/>
      </c>
      <c r="C436" s="17"/>
      <c r="D436" s="6"/>
      <c r="E436" s="7" t="str">
        <f>IF($G436="","",INDEX('EDS Lookup'!$F$6:$F$2819,$G436))</f>
        <v/>
      </c>
      <c r="F436" s="8" t="str">
        <f>IF($G436="","",INDEX('EDS Lookup'!$G$6:$G$2819,$G436))</f>
        <v/>
      </c>
      <c r="G436" t="str">
        <f>IF(413&lt;=$B$4,IFERROR(MATCH(413,'EDS Lookup'!$H$6:$H$2819,0),""),"")</f>
        <v/>
      </c>
      <c r="H436" t="str">
        <f t="shared" si="6"/>
        <v/>
      </c>
    </row>
    <row r="437" spans="1:8" ht="19.95" customHeight="1">
      <c r="A437" s="5" t="str">
        <f>IF($G437="","",INDEX('EDS Lookup'!$D$6:$D$2819,$G437))</f>
        <v/>
      </c>
      <c r="B437" s="5" t="str">
        <f>IF($G437="","",INDEX('EDS Lookup'!$B$6:$B$2819,$G437))</f>
        <v/>
      </c>
      <c r="C437" s="17"/>
      <c r="D437" s="6"/>
      <c r="E437" s="7" t="str">
        <f>IF($G437="","",INDEX('EDS Lookup'!$F$6:$F$2819,$G437))</f>
        <v/>
      </c>
      <c r="F437" s="8" t="str">
        <f>IF($G437="","",INDEX('EDS Lookup'!$G$6:$G$2819,$G437))</f>
        <v/>
      </c>
      <c r="G437" t="str">
        <f>IF(414&lt;=$B$4,IFERROR(MATCH(414,'EDS Lookup'!$H$6:$H$2819,0),""),"")</f>
        <v/>
      </c>
      <c r="H437" t="str">
        <f t="shared" si="6"/>
        <v/>
      </c>
    </row>
    <row r="438" spans="1:8" ht="19.95" customHeight="1">
      <c r="A438" s="5" t="str">
        <f>IF($G438="","",INDEX('EDS Lookup'!$D$6:$D$2819,$G438))</f>
        <v/>
      </c>
      <c r="B438" s="5" t="str">
        <f>IF($G438="","",INDEX('EDS Lookup'!$B$6:$B$2819,$G438))</f>
        <v/>
      </c>
      <c r="C438" s="17"/>
      <c r="D438" s="6"/>
      <c r="E438" s="7" t="str">
        <f>IF($G438="","",INDEX('EDS Lookup'!$F$6:$F$2819,$G438))</f>
        <v/>
      </c>
      <c r="F438" s="8" t="str">
        <f>IF($G438="","",INDEX('EDS Lookup'!$G$6:$G$2819,$G438))</f>
        <v/>
      </c>
      <c r="G438" t="str">
        <f>IF(415&lt;=$B$4,IFERROR(MATCH(415,'EDS Lookup'!$H$6:$H$2819,0),""),"")</f>
        <v/>
      </c>
      <c r="H438" t="str">
        <f t="shared" si="6"/>
        <v/>
      </c>
    </row>
    <row r="439" spans="1:8" ht="19.95" customHeight="1">
      <c r="A439" s="5" t="str">
        <f>IF($G439="","",INDEX('EDS Lookup'!$D$6:$D$2819,$G439))</f>
        <v/>
      </c>
      <c r="B439" s="5" t="str">
        <f>IF($G439="","",INDEX('EDS Lookup'!$B$6:$B$2819,$G439))</f>
        <v/>
      </c>
      <c r="C439" s="17"/>
      <c r="D439" s="6"/>
      <c r="E439" s="7" t="str">
        <f>IF($G439="","",INDEX('EDS Lookup'!$F$6:$F$2819,$G439))</f>
        <v/>
      </c>
      <c r="F439" s="8" t="str">
        <f>IF($G439="","",INDEX('EDS Lookup'!$G$6:$G$2819,$G439))</f>
        <v/>
      </c>
      <c r="G439" t="str">
        <f>IF(416&lt;=$B$4,IFERROR(MATCH(416,'EDS Lookup'!$H$6:$H$2819,0),""),"")</f>
        <v/>
      </c>
      <c r="H439" t="str">
        <f t="shared" si="6"/>
        <v/>
      </c>
    </row>
    <row r="440" spans="1:8" ht="19.95" customHeight="1">
      <c r="A440" s="5" t="str">
        <f>IF($G440="","",INDEX('EDS Lookup'!$D$6:$D$2819,$G440))</f>
        <v/>
      </c>
      <c r="B440" s="5" t="str">
        <f>IF($G440="","",INDEX('EDS Lookup'!$B$6:$B$2819,$G440))</f>
        <v/>
      </c>
      <c r="C440" s="17"/>
      <c r="D440" s="6"/>
      <c r="E440" s="7" t="str">
        <f>IF($G440="","",INDEX('EDS Lookup'!$F$6:$F$2819,$G440))</f>
        <v/>
      </c>
      <c r="F440" s="8" t="str">
        <f>IF($G440="","",INDEX('EDS Lookup'!$G$6:$G$2819,$G440))</f>
        <v/>
      </c>
      <c r="G440" t="str">
        <f>IF(417&lt;=$B$4,IFERROR(MATCH(417,'EDS Lookup'!$H$6:$H$2819,0),""),"")</f>
        <v/>
      </c>
      <c r="H440" t="str">
        <f t="shared" si="6"/>
        <v/>
      </c>
    </row>
    <row r="441" spans="1:8" ht="19.95" customHeight="1">
      <c r="A441" s="5" t="str">
        <f>IF($G441="","",INDEX('EDS Lookup'!$D$6:$D$2819,$G441))</f>
        <v/>
      </c>
      <c r="B441" s="5" t="str">
        <f>IF($G441="","",INDEX('EDS Lookup'!$B$6:$B$2819,$G441))</f>
        <v/>
      </c>
      <c r="C441" s="17"/>
      <c r="D441" s="6"/>
      <c r="E441" s="7" t="str">
        <f>IF($G441="","",INDEX('EDS Lookup'!$F$6:$F$2819,$G441))</f>
        <v/>
      </c>
      <c r="F441" s="8" t="str">
        <f>IF($G441="","",INDEX('EDS Lookup'!$G$6:$G$2819,$G441))</f>
        <v/>
      </c>
      <c r="G441" t="str">
        <f>IF(418&lt;=$B$4,IFERROR(MATCH(418,'EDS Lookup'!$H$6:$H$2819,0),""),"")</f>
        <v/>
      </c>
      <c r="H441" t="str">
        <f t="shared" si="6"/>
        <v/>
      </c>
    </row>
    <row r="442" spans="1:8" ht="19.95" customHeight="1">
      <c r="A442" s="5" t="str">
        <f>IF($G442="","",INDEX('EDS Lookup'!$D$6:$D$2819,$G442))</f>
        <v/>
      </c>
      <c r="B442" s="5" t="str">
        <f>IF($G442="","",INDEX('EDS Lookup'!$B$6:$B$2819,$G442))</f>
        <v/>
      </c>
      <c r="C442" s="17"/>
      <c r="D442" s="6"/>
      <c r="E442" s="7" t="str">
        <f>IF($G442="","",INDEX('EDS Lookup'!$F$6:$F$2819,$G442))</f>
        <v/>
      </c>
      <c r="F442" s="8" t="str">
        <f>IF($G442="","",INDEX('EDS Lookup'!$G$6:$G$2819,$G442))</f>
        <v/>
      </c>
      <c r="G442" t="str">
        <f>IF(419&lt;=$B$4,IFERROR(MATCH(419,'EDS Lookup'!$H$6:$H$2819,0),""),"")</f>
        <v/>
      </c>
      <c r="H442" t="str">
        <f t="shared" si="6"/>
        <v/>
      </c>
    </row>
    <row r="443" spans="1:8" ht="19.95" customHeight="1">
      <c r="A443" s="5" t="str">
        <f>IF($G443="","",INDEX('EDS Lookup'!$D$6:$D$2819,$G443))</f>
        <v/>
      </c>
      <c r="B443" s="5" t="str">
        <f>IF($G443="","",INDEX('EDS Lookup'!$B$6:$B$2819,$G443))</f>
        <v/>
      </c>
      <c r="C443" s="17"/>
      <c r="D443" s="6"/>
      <c r="E443" s="7" t="str">
        <f>IF($G443="","",INDEX('EDS Lookup'!$F$6:$F$2819,$G443))</f>
        <v/>
      </c>
      <c r="F443" s="8" t="str">
        <f>IF($G443="","",INDEX('EDS Lookup'!$G$6:$G$2819,$G443))</f>
        <v/>
      </c>
      <c r="G443" t="str">
        <f>IF(420&lt;=$B$4,IFERROR(MATCH(420,'EDS Lookup'!$H$6:$H$2819,0),""),"")</f>
        <v/>
      </c>
      <c r="H443" t="str">
        <f t="shared" si="6"/>
        <v/>
      </c>
    </row>
    <row r="444" spans="1:8" ht="19.95" customHeight="1">
      <c r="A444" s="5" t="str">
        <f>IF($G444="","",INDEX('EDS Lookup'!$D$6:$D$2819,$G444))</f>
        <v/>
      </c>
      <c r="B444" s="5" t="str">
        <f>IF($G444="","",INDEX('EDS Lookup'!$B$6:$B$2819,$G444))</f>
        <v/>
      </c>
      <c r="C444" s="17"/>
      <c r="D444" s="6"/>
      <c r="E444" s="7" t="str">
        <f>IF($G444="","",INDEX('EDS Lookup'!$F$6:$F$2819,$G444))</f>
        <v/>
      </c>
      <c r="F444" s="8" t="str">
        <f>IF($G444="","",INDEX('EDS Lookup'!$G$6:$G$2819,$G444))</f>
        <v/>
      </c>
      <c r="G444" t="str">
        <f>IF(421&lt;=$B$4,IFERROR(MATCH(421,'EDS Lookup'!$H$6:$H$2819,0),""),"")</f>
        <v/>
      </c>
      <c r="H444" t="str">
        <f t="shared" si="6"/>
        <v/>
      </c>
    </row>
    <row r="445" spans="1:8" ht="19.95" customHeight="1">
      <c r="A445" s="5" t="str">
        <f>IF($G445="","",INDEX('EDS Lookup'!$D$6:$D$2819,$G445))</f>
        <v/>
      </c>
      <c r="B445" s="5" t="str">
        <f>IF($G445="","",INDEX('EDS Lookup'!$B$6:$B$2819,$G445))</f>
        <v/>
      </c>
      <c r="C445" s="17"/>
      <c r="D445" s="6"/>
      <c r="E445" s="7" t="str">
        <f>IF($G445="","",INDEX('EDS Lookup'!$F$6:$F$2819,$G445))</f>
        <v/>
      </c>
      <c r="F445" s="8" t="str">
        <f>IF($G445="","",INDEX('EDS Lookup'!$G$6:$G$2819,$G445))</f>
        <v/>
      </c>
      <c r="G445" t="str">
        <f>IF(422&lt;=$B$4,IFERROR(MATCH(422,'EDS Lookup'!$H$6:$H$2819,0),""),"")</f>
        <v/>
      </c>
      <c r="H445" t="str">
        <f t="shared" si="6"/>
        <v/>
      </c>
    </row>
    <row r="446" spans="1:8" ht="19.95" customHeight="1">
      <c r="A446" s="5" t="str">
        <f>IF($G446="","",INDEX('EDS Lookup'!$D$6:$D$2819,$G446))</f>
        <v/>
      </c>
      <c r="B446" s="5" t="str">
        <f>IF($G446="","",INDEX('EDS Lookup'!$B$6:$B$2819,$G446))</f>
        <v/>
      </c>
      <c r="C446" s="17"/>
      <c r="D446" s="6"/>
      <c r="E446" s="7" t="str">
        <f>IF($G446="","",INDEX('EDS Lookup'!$F$6:$F$2819,$G446))</f>
        <v/>
      </c>
      <c r="F446" s="8" t="str">
        <f>IF($G446="","",INDEX('EDS Lookup'!$G$6:$G$2819,$G446))</f>
        <v/>
      </c>
      <c r="G446" t="str">
        <f>IF(423&lt;=$B$4,IFERROR(MATCH(423,'EDS Lookup'!$H$6:$H$2819,0),""),"")</f>
        <v/>
      </c>
      <c r="H446" t="str">
        <f t="shared" si="6"/>
        <v/>
      </c>
    </row>
    <row r="447" spans="1:8" ht="19.95" customHeight="1">
      <c r="A447" s="5" t="str">
        <f>IF($G447="","",INDEX('EDS Lookup'!$D$6:$D$2819,$G447))</f>
        <v/>
      </c>
      <c r="B447" s="5" t="str">
        <f>IF($G447="","",INDEX('EDS Lookup'!$B$6:$B$2819,$G447))</f>
        <v/>
      </c>
      <c r="C447" s="17"/>
      <c r="D447" s="6"/>
      <c r="E447" s="7" t="str">
        <f>IF($G447="","",INDEX('EDS Lookup'!$F$6:$F$2819,$G447))</f>
        <v/>
      </c>
      <c r="F447" s="8" t="str">
        <f>IF($G447="","",INDEX('EDS Lookup'!$G$6:$G$2819,$G447))</f>
        <v/>
      </c>
      <c r="G447" t="str">
        <f>IF(424&lt;=$B$4,IFERROR(MATCH(424,'EDS Lookup'!$H$6:$H$2819,0),""),"")</f>
        <v/>
      </c>
      <c r="H447" t="str">
        <f t="shared" si="6"/>
        <v/>
      </c>
    </row>
    <row r="448" spans="1:8" ht="19.95" customHeight="1">
      <c r="A448" s="5" t="str">
        <f>IF($G448="","",INDEX('EDS Lookup'!$D$6:$D$2819,$G448))</f>
        <v/>
      </c>
      <c r="B448" s="5" t="str">
        <f>IF($G448="","",INDEX('EDS Lookup'!$B$6:$B$2819,$G448))</f>
        <v/>
      </c>
      <c r="C448" s="17"/>
      <c r="D448" s="6"/>
      <c r="E448" s="7" t="str">
        <f>IF($G448="","",INDEX('EDS Lookup'!$F$6:$F$2819,$G448))</f>
        <v/>
      </c>
      <c r="F448" s="8" t="str">
        <f>IF($G448="","",INDEX('EDS Lookup'!$G$6:$G$2819,$G448))</f>
        <v/>
      </c>
      <c r="G448" t="str">
        <f>IF(425&lt;=$B$4,IFERROR(MATCH(425,'EDS Lookup'!$H$6:$H$2819,0),""),"")</f>
        <v/>
      </c>
      <c r="H448" t="str">
        <f t="shared" si="6"/>
        <v/>
      </c>
    </row>
    <row r="449" spans="1:8" ht="19.95" customHeight="1">
      <c r="A449" s="5" t="str">
        <f>IF($G449="","",INDEX('EDS Lookup'!$D$6:$D$2819,$G449))</f>
        <v/>
      </c>
      <c r="B449" s="5" t="str">
        <f>IF($G449="","",INDEX('EDS Lookup'!$B$6:$B$2819,$G449))</f>
        <v/>
      </c>
      <c r="C449" s="17"/>
      <c r="D449" s="6"/>
      <c r="E449" s="7" t="str">
        <f>IF($G449="","",INDEX('EDS Lookup'!$F$6:$F$2819,$G449))</f>
        <v/>
      </c>
      <c r="F449" s="8" t="str">
        <f>IF($G449="","",INDEX('EDS Lookup'!$G$6:$G$2819,$G449))</f>
        <v/>
      </c>
      <c r="G449" t="str">
        <f>IF(426&lt;=$B$4,IFERROR(MATCH(426,'EDS Lookup'!$H$6:$H$2819,0),""),"")</f>
        <v/>
      </c>
      <c r="H449" t="str">
        <f t="shared" si="6"/>
        <v/>
      </c>
    </row>
    <row r="450" spans="1:8" ht="19.95" customHeight="1">
      <c r="A450" s="5" t="str">
        <f>IF($G450="","",INDEX('EDS Lookup'!$D$6:$D$2819,$G450))</f>
        <v/>
      </c>
      <c r="B450" s="5" t="str">
        <f>IF($G450="","",INDEX('EDS Lookup'!$B$6:$B$2819,$G450))</f>
        <v/>
      </c>
      <c r="C450" s="17"/>
      <c r="D450" s="6"/>
      <c r="E450" s="7" t="str">
        <f>IF($G450="","",INDEX('EDS Lookup'!$F$6:$F$2819,$G450))</f>
        <v/>
      </c>
      <c r="F450" s="8" t="str">
        <f>IF($G450="","",INDEX('EDS Lookup'!$G$6:$G$2819,$G450))</f>
        <v/>
      </c>
      <c r="G450" t="str">
        <f>IF(427&lt;=$B$4,IFERROR(MATCH(427,'EDS Lookup'!$H$6:$H$2819,0),""),"")</f>
        <v/>
      </c>
      <c r="H450" t="str">
        <f t="shared" si="6"/>
        <v/>
      </c>
    </row>
    <row r="451" spans="1:8" ht="19.95" customHeight="1">
      <c r="A451" s="5" t="str">
        <f>IF($G451="","",INDEX('EDS Lookup'!$D$6:$D$2819,$G451))</f>
        <v/>
      </c>
      <c r="B451" s="5" t="str">
        <f>IF($G451="","",INDEX('EDS Lookup'!$B$6:$B$2819,$G451))</f>
        <v/>
      </c>
      <c r="C451" s="17"/>
      <c r="D451" s="6"/>
      <c r="E451" s="7" t="str">
        <f>IF($G451="","",INDEX('EDS Lookup'!$F$6:$F$2819,$G451))</f>
        <v/>
      </c>
      <c r="F451" s="8" t="str">
        <f>IF($G451="","",INDEX('EDS Lookup'!$G$6:$G$2819,$G451))</f>
        <v/>
      </c>
      <c r="G451" t="str">
        <f>IF(428&lt;=$B$4,IFERROR(MATCH(428,'EDS Lookup'!$H$6:$H$2819,0),""),"")</f>
        <v/>
      </c>
      <c r="H451" t="str">
        <f t="shared" si="6"/>
        <v/>
      </c>
    </row>
    <row r="452" spans="1:8" ht="19.95" customHeight="1">
      <c r="A452" s="5" t="str">
        <f>IF($G452="","",INDEX('EDS Lookup'!$D$6:$D$2819,$G452))</f>
        <v/>
      </c>
      <c r="B452" s="5" t="str">
        <f>IF($G452="","",INDEX('EDS Lookup'!$B$6:$B$2819,$G452))</f>
        <v/>
      </c>
      <c r="C452" s="17"/>
      <c r="D452" s="6"/>
      <c r="E452" s="7" t="str">
        <f>IF($G452="","",INDEX('EDS Lookup'!$F$6:$F$2819,$G452))</f>
        <v/>
      </c>
      <c r="F452" s="8" t="str">
        <f>IF($G452="","",INDEX('EDS Lookup'!$G$6:$G$2819,$G452))</f>
        <v/>
      </c>
      <c r="G452" t="str">
        <f>IF(429&lt;=$B$4,IFERROR(MATCH(429,'EDS Lookup'!$H$6:$H$2819,0),""),"")</f>
        <v/>
      </c>
      <c r="H452" t="str">
        <f t="shared" si="6"/>
        <v/>
      </c>
    </row>
    <row r="453" spans="1:8" ht="19.95" customHeight="1">
      <c r="A453" s="5" t="str">
        <f>IF($G453="","",INDEX('EDS Lookup'!$D$6:$D$2819,$G453))</f>
        <v/>
      </c>
      <c r="B453" s="5" t="str">
        <f>IF($G453="","",INDEX('EDS Lookup'!$B$6:$B$2819,$G453))</f>
        <v/>
      </c>
      <c r="C453" s="17"/>
      <c r="D453" s="6"/>
      <c r="E453" s="7" t="str">
        <f>IF($G453="","",INDEX('EDS Lookup'!$F$6:$F$2819,$G453))</f>
        <v/>
      </c>
      <c r="F453" s="8" t="str">
        <f>IF($G453="","",INDEX('EDS Lookup'!$G$6:$G$2819,$G453))</f>
        <v/>
      </c>
      <c r="G453" t="str">
        <f>IF(430&lt;=$B$4,IFERROR(MATCH(430,'EDS Lookup'!$H$6:$H$2819,0),""),"")</f>
        <v/>
      </c>
      <c r="H453" t="str">
        <f t="shared" si="6"/>
        <v/>
      </c>
    </row>
    <row r="454" spans="1:8" ht="19.95" customHeight="1">
      <c r="A454" s="5" t="str">
        <f>IF($G454="","",INDEX('EDS Lookup'!$D$6:$D$2819,$G454))</f>
        <v/>
      </c>
      <c r="B454" s="5" t="str">
        <f>IF($G454="","",INDEX('EDS Lookup'!$B$6:$B$2819,$G454))</f>
        <v/>
      </c>
      <c r="C454" s="17"/>
      <c r="D454" s="6"/>
      <c r="E454" s="7" t="str">
        <f>IF($G454="","",INDEX('EDS Lookup'!$F$6:$F$2819,$G454))</f>
        <v/>
      </c>
      <c r="F454" s="8" t="str">
        <f>IF($G454="","",INDEX('EDS Lookup'!$G$6:$G$2819,$G454))</f>
        <v/>
      </c>
      <c r="G454" t="str">
        <f>IF(431&lt;=$B$4,IFERROR(MATCH(431,'EDS Lookup'!$H$6:$H$2819,0),""),"")</f>
        <v/>
      </c>
      <c r="H454" t="str">
        <f t="shared" si="6"/>
        <v/>
      </c>
    </row>
    <row r="455" spans="1:8" ht="19.95" customHeight="1">
      <c r="A455" s="5" t="str">
        <f>IF($G455="","",INDEX('EDS Lookup'!$D$6:$D$2819,$G455))</f>
        <v/>
      </c>
      <c r="B455" s="5" t="str">
        <f>IF($G455="","",INDEX('EDS Lookup'!$B$6:$B$2819,$G455))</f>
        <v/>
      </c>
      <c r="C455" s="17"/>
      <c r="D455" s="6"/>
      <c r="E455" s="7" t="str">
        <f>IF($G455="","",INDEX('EDS Lookup'!$F$6:$F$2819,$G455))</f>
        <v/>
      </c>
      <c r="F455" s="8" t="str">
        <f>IF($G455="","",INDEX('EDS Lookup'!$G$6:$G$2819,$G455))</f>
        <v/>
      </c>
      <c r="G455" t="str">
        <f>IF(432&lt;=$B$4,IFERROR(MATCH(432,'EDS Lookup'!$H$6:$H$2819,0),""),"")</f>
        <v/>
      </c>
      <c r="H455" t="str">
        <f t="shared" si="6"/>
        <v/>
      </c>
    </row>
    <row r="456" spans="1:8" ht="19.95" customHeight="1">
      <c r="A456" s="5" t="str">
        <f>IF($G456="","",INDEX('EDS Lookup'!$D$6:$D$2819,$G456))</f>
        <v/>
      </c>
      <c r="B456" s="5" t="str">
        <f>IF($G456="","",INDEX('EDS Lookup'!$B$6:$B$2819,$G456))</f>
        <v/>
      </c>
      <c r="C456" s="17"/>
      <c r="D456" s="6"/>
      <c r="E456" s="7" t="str">
        <f>IF($G456="","",INDEX('EDS Lookup'!$F$6:$F$2819,$G456))</f>
        <v/>
      </c>
      <c r="F456" s="8" t="str">
        <f>IF($G456="","",INDEX('EDS Lookup'!$G$6:$G$2819,$G456))</f>
        <v/>
      </c>
      <c r="G456" t="str">
        <f>IF(433&lt;=$B$4,IFERROR(MATCH(433,'EDS Lookup'!$H$6:$H$2819,0),""),"")</f>
        <v/>
      </c>
      <c r="H456" t="str">
        <f t="shared" si="6"/>
        <v/>
      </c>
    </row>
    <row r="457" spans="1:8" ht="19.95" customHeight="1">
      <c r="A457" s="5" t="str">
        <f>IF($G457="","",INDEX('EDS Lookup'!$D$6:$D$2819,$G457))</f>
        <v/>
      </c>
      <c r="B457" s="5" t="str">
        <f>IF($G457="","",INDEX('EDS Lookup'!$B$6:$B$2819,$G457))</f>
        <v/>
      </c>
      <c r="C457" s="17"/>
      <c r="D457" s="6"/>
      <c r="E457" s="7" t="str">
        <f>IF($G457="","",INDEX('EDS Lookup'!$F$6:$F$2819,$G457))</f>
        <v/>
      </c>
      <c r="F457" s="8" t="str">
        <f>IF($G457="","",INDEX('EDS Lookup'!$G$6:$G$2819,$G457))</f>
        <v/>
      </c>
      <c r="G457" t="str">
        <f>IF(434&lt;=$B$4,IFERROR(MATCH(434,'EDS Lookup'!$H$6:$H$2819,0),""),"")</f>
        <v/>
      </c>
      <c r="H457" t="str">
        <f t="shared" si="6"/>
        <v/>
      </c>
    </row>
    <row r="458" spans="1:8" ht="19.95" customHeight="1">
      <c r="A458" s="5" t="str">
        <f>IF($G458="","",INDEX('EDS Lookup'!$D$6:$D$2819,$G458))</f>
        <v/>
      </c>
      <c r="B458" s="5" t="str">
        <f>IF($G458="","",INDEX('EDS Lookup'!$B$6:$B$2819,$G458))</f>
        <v/>
      </c>
      <c r="C458" s="17"/>
      <c r="D458" s="6"/>
      <c r="E458" s="7" t="str">
        <f>IF($G458="","",INDEX('EDS Lookup'!$F$6:$F$2819,$G458))</f>
        <v/>
      </c>
      <c r="F458" s="8" t="str">
        <f>IF($G458="","",INDEX('EDS Lookup'!$G$6:$G$2819,$G458))</f>
        <v/>
      </c>
      <c r="G458" t="str">
        <f>IF(435&lt;=$B$4,IFERROR(MATCH(435,'EDS Lookup'!$H$6:$H$2819,0),""),"")</f>
        <v/>
      </c>
      <c r="H458" t="str">
        <f t="shared" si="6"/>
        <v/>
      </c>
    </row>
    <row r="459" spans="1:8" ht="19.95" customHeight="1">
      <c r="A459" s="5" t="str">
        <f>IF($G459="","",INDEX('EDS Lookup'!$D$6:$D$2819,$G459))</f>
        <v/>
      </c>
      <c r="B459" s="5" t="str">
        <f>IF($G459="","",INDEX('EDS Lookup'!$B$6:$B$2819,$G459))</f>
        <v/>
      </c>
      <c r="C459" s="17"/>
      <c r="D459" s="6"/>
      <c r="E459" s="7" t="str">
        <f>IF($G459="","",INDEX('EDS Lookup'!$F$6:$F$2819,$G459))</f>
        <v/>
      </c>
      <c r="F459" s="8" t="str">
        <f>IF($G459="","",INDEX('EDS Lookup'!$G$6:$G$2819,$G459))</f>
        <v/>
      </c>
      <c r="G459" t="str">
        <f>IF(436&lt;=$B$4,IFERROR(MATCH(436,'EDS Lookup'!$H$6:$H$2819,0),""),"")</f>
        <v/>
      </c>
      <c r="H459" t="str">
        <f t="shared" si="6"/>
        <v/>
      </c>
    </row>
    <row r="460" spans="1:8" ht="19.95" customHeight="1">
      <c r="A460" s="5" t="str">
        <f>IF($G460="","",INDEX('EDS Lookup'!$D$6:$D$2819,$G460))</f>
        <v/>
      </c>
      <c r="B460" s="5" t="str">
        <f>IF($G460="","",INDEX('EDS Lookup'!$B$6:$B$2819,$G460))</f>
        <v/>
      </c>
      <c r="C460" s="17"/>
      <c r="D460" s="6"/>
      <c r="E460" s="7" t="str">
        <f>IF($G460="","",INDEX('EDS Lookup'!$F$6:$F$2819,$G460))</f>
        <v/>
      </c>
      <c r="F460" s="8" t="str">
        <f>IF($G460="","",INDEX('EDS Lookup'!$G$6:$G$2819,$G460))</f>
        <v/>
      </c>
      <c r="G460" t="str">
        <f>IF(437&lt;=$B$4,IFERROR(MATCH(437,'EDS Lookup'!$H$6:$H$2819,0),""),"")</f>
        <v/>
      </c>
      <c r="H460" t="str">
        <f t="shared" si="6"/>
        <v/>
      </c>
    </row>
    <row r="461" spans="1:8" ht="19.95" customHeight="1">
      <c r="A461" s="5" t="str">
        <f>IF($G461="","",INDEX('EDS Lookup'!$D$6:$D$2819,$G461))</f>
        <v/>
      </c>
      <c r="B461" s="5" t="str">
        <f>IF($G461="","",INDEX('EDS Lookup'!$B$6:$B$2819,$G461))</f>
        <v/>
      </c>
      <c r="C461" s="17"/>
      <c r="D461" s="6"/>
      <c r="E461" s="7" t="str">
        <f>IF($G461="","",INDEX('EDS Lookup'!$F$6:$F$2819,$G461))</f>
        <v/>
      </c>
      <c r="F461" s="8" t="str">
        <f>IF($G461="","",INDEX('EDS Lookup'!$G$6:$G$2819,$G461))</f>
        <v/>
      </c>
      <c r="G461" t="str">
        <f>IF(438&lt;=$B$4,IFERROR(MATCH(438,'EDS Lookup'!$H$6:$H$2819,0),""),"")</f>
        <v/>
      </c>
      <c r="H461" t="str">
        <f t="shared" si="6"/>
        <v/>
      </c>
    </row>
    <row r="462" spans="1:8" ht="19.95" customHeight="1">
      <c r="A462" s="5" t="str">
        <f>IF($G462="","",INDEX('EDS Lookup'!$D$6:$D$2819,$G462))</f>
        <v/>
      </c>
      <c r="B462" s="5" t="str">
        <f>IF($G462="","",INDEX('EDS Lookup'!$B$6:$B$2819,$G462))</f>
        <v/>
      </c>
      <c r="C462" s="17"/>
      <c r="D462" s="6"/>
      <c r="E462" s="7" t="str">
        <f>IF($G462="","",INDEX('EDS Lookup'!$F$6:$F$2819,$G462))</f>
        <v/>
      </c>
      <c r="F462" s="8" t="str">
        <f>IF($G462="","",INDEX('EDS Lookup'!$G$6:$G$2819,$G462))</f>
        <v/>
      </c>
      <c r="G462" t="str">
        <f>IF(439&lt;=$B$4,IFERROR(MATCH(439,'EDS Lookup'!$H$6:$H$2819,0),""),"")</f>
        <v/>
      </c>
      <c r="H462" t="str">
        <f t="shared" si="6"/>
        <v/>
      </c>
    </row>
    <row r="463" spans="1:8" ht="19.95" customHeight="1">
      <c r="A463" s="5" t="str">
        <f>IF($G463="","",INDEX('EDS Lookup'!$D$6:$D$2819,$G463))</f>
        <v/>
      </c>
      <c r="B463" s="5" t="str">
        <f>IF($G463="","",INDEX('EDS Lookup'!$B$6:$B$2819,$G463))</f>
        <v/>
      </c>
      <c r="C463" s="17"/>
      <c r="D463" s="6"/>
      <c r="E463" s="7" t="str">
        <f>IF($G463="","",INDEX('EDS Lookup'!$F$6:$F$2819,$G463))</f>
        <v/>
      </c>
      <c r="F463" s="8" t="str">
        <f>IF($G463="","",INDEX('EDS Lookup'!$G$6:$G$2819,$G463))</f>
        <v/>
      </c>
      <c r="G463" t="str">
        <f>IF(440&lt;=$B$4,IFERROR(MATCH(440,'EDS Lookup'!$H$6:$H$2819,0),""),"")</f>
        <v/>
      </c>
      <c r="H463" t="str">
        <f t="shared" si="6"/>
        <v/>
      </c>
    </row>
    <row r="464" spans="1:8" ht="19.95" customHeight="1">
      <c r="A464" s="5" t="str">
        <f>IF($G464="","",INDEX('EDS Lookup'!$D$6:$D$2819,$G464))</f>
        <v/>
      </c>
      <c r="B464" s="5" t="str">
        <f>IF($G464="","",INDEX('EDS Lookup'!$B$6:$B$2819,$G464))</f>
        <v/>
      </c>
      <c r="C464" s="17"/>
      <c r="D464" s="6"/>
      <c r="E464" s="7" t="str">
        <f>IF($G464="","",INDEX('EDS Lookup'!$F$6:$F$2819,$G464))</f>
        <v/>
      </c>
      <c r="F464" s="8" t="str">
        <f>IF($G464="","",INDEX('EDS Lookup'!$G$6:$G$2819,$G464))</f>
        <v/>
      </c>
      <c r="G464" t="str">
        <f>IF(441&lt;=$B$4,IFERROR(MATCH(441,'EDS Lookup'!$H$6:$H$2819,0),""),"")</f>
        <v/>
      </c>
      <c r="H464" t="str">
        <f t="shared" si="6"/>
        <v/>
      </c>
    </row>
    <row r="465" spans="1:8" ht="19.95" customHeight="1">
      <c r="A465" s="5" t="str">
        <f>IF($G465="","",INDEX('EDS Lookup'!$D$6:$D$2819,$G465))</f>
        <v/>
      </c>
      <c r="B465" s="5" t="str">
        <f>IF($G465="","",INDEX('EDS Lookup'!$B$6:$B$2819,$G465))</f>
        <v/>
      </c>
      <c r="C465" s="17"/>
      <c r="D465" s="6"/>
      <c r="E465" s="7" t="str">
        <f>IF($G465="","",INDEX('EDS Lookup'!$F$6:$F$2819,$G465))</f>
        <v/>
      </c>
      <c r="F465" s="8" t="str">
        <f>IF($G465="","",INDEX('EDS Lookup'!$G$6:$G$2819,$G465))</f>
        <v/>
      </c>
      <c r="G465" t="str">
        <f>IF(442&lt;=$B$4,IFERROR(MATCH(442,'EDS Lookup'!$H$6:$H$2819,0),""),"")</f>
        <v/>
      </c>
      <c r="H465" t="str">
        <f t="shared" si="6"/>
        <v/>
      </c>
    </row>
    <row r="466" spans="1:8" ht="19.95" customHeight="1">
      <c r="A466" s="5" t="str">
        <f>IF($G466="","",INDEX('EDS Lookup'!$D$6:$D$2819,$G466))</f>
        <v/>
      </c>
      <c r="B466" s="5" t="str">
        <f>IF($G466="","",INDEX('EDS Lookup'!$B$6:$B$2819,$G466))</f>
        <v/>
      </c>
      <c r="C466" s="17"/>
      <c r="D466" s="6"/>
      <c r="E466" s="7" t="str">
        <f>IF($G466="","",INDEX('EDS Lookup'!$F$6:$F$2819,$G466))</f>
        <v/>
      </c>
      <c r="F466" s="8" t="str">
        <f>IF($G466="","",INDEX('EDS Lookup'!$G$6:$G$2819,$G466))</f>
        <v/>
      </c>
      <c r="G466" t="str">
        <f>IF(443&lt;=$B$4,IFERROR(MATCH(443,'EDS Lookup'!$H$6:$H$2819,0),""),"")</f>
        <v/>
      </c>
      <c r="H466" t="str">
        <f t="shared" si="6"/>
        <v/>
      </c>
    </row>
    <row r="467" spans="1:8" ht="19.95" customHeight="1">
      <c r="A467" s="5" t="str">
        <f>IF($G467="","",INDEX('EDS Lookup'!$D$6:$D$2819,$G467))</f>
        <v/>
      </c>
      <c r="B467" s="5" t="str">
        <f>IF($G467="","",INDEX('EDS Lookup'!$B$6:$B$2819,$G467))</f>
        <v/>
      </c>
      <c r="C467" s="17"/>
      <c r="D467" s="6"/>
      <c r="E467" s="7" t="str">
        <f>IF($G467="","",INDEX('EDS Lookup'!$F$6:$F$2819,$G467))</f>
        <v/>
      </c>
      <c r="F467" s="8" t="str">
        <f>IF($G467="","",INDEX('EDS Lookup'!$G$6:$G$2819,$G467))</f>
        <v/>
      </c>
      <c r="G467" t="str">
        <f>IF(444&lt;=$B$4,IFERROR(MATCH(444,'EDS Lookup'!$H$6:$H$2819,0),""),"")</f>
        <v/>
      </c>
      <c r="H467" t="str">
        <f t="shared" si="6"/>
        <v/>
      </c>
    </row>
    <row r="468" spans="1:8" ht="19.95" customHeight="1">
      <c r="A468" s="5" t="str">
        <f>IF($G468="","",INDEX('EDS Lookup'!$D$6:$D$2819,$G468))</f>
        <v/>
      </c>
      <c r="B468" s="5" t="str">
        <f>IF($G468="","",INDEX('EDS Lookup'!$B$6:$B$2819,$G468))</f>
        <v/>
      </c>
      <c r="C468" s="17"/>
      <c r="D468" s="6"/>
      <c r="E468" s="7" t="str">
        <f>IF($G468="","",INDEX('EDS Lookup'!$F$6:$F$2819,$G468))</f>
        <v/>
      </c>
      <c r="F468" s="8" t="str">
        <f>IF($G468="","",INDEX('EDS Lookup'!$G$6:$G$2819,$G468))</f>
        <v/>
      </c>
      <c r="G468" t="str">
        <f>IF(445&lt;=$B$4,IFERROR(MATCH(445,'EDS Lookup'!$H$6:$H$2819,0),""),"")</f>
        <v/>
      </c>
      <c r="H468" t="str">
        <f t="shared" si="6"/>
        <v/>
      </c>
    </row>
    <row r="469" spans="1:8" ht="19.95" customHeight="1">
      <c r="A469" s="5" t="str">
        <f>IF($G469="","",INDEX('EDS Lookup'!$D$6:$D$2819,$G469))</f>
        <v/>
      </c>
      <c r="B469" s="5" t="str">
        <f>IF($G469="","",INDEX('EDS Lookup'!$B$6:$B$2819,$G469))</f>
        <v/>
      </c>
      <c r="C469" s="17"/>
      <c r="D469" s="6"/>
      <c r="E469" s="7" t="str">
        <f>IF($G469="","",INDEX('EDS Lookup'!$F$6:$F$2819,$G469))</f>
        <v/>
      </c>
      <c r="F469" s="8" t="str">
        <f>IF($G469="","",INDEX('EDS Lookup'!$G$6:$G$2819,$G469))</f>
        <v/>
      </c>
      <c r="G469" t="str">
        <f>IF(446&lt;=$B$4,IFERROR(MATCH(446,'EDS Lookup'!$H$6:$H$2819,0),""),"")</f>
        <v/>
      </c>
      <c r="H469" t="str">
        <f t="shared" si="6"/>
        <v/>
      </c>
    </row>
    <row r="470" spans="1:8" ht="19.95" customHeight="1">
      <c r="A470" s="5" t="str">
        <f>IF($G470="","",INDEX('EDS Lookup'!$D$6:$D$2819,$G470))</f>
        <v/>
      </c>
      <c r="B470" s="5" t="str">
        <f>IF($G470="","",INDEX('EDS Lookup'!$B$6:$B$2819,$G470))</f>
        <v/>
      </c>
      <c r="C470" s="17"/>
      <c r="D470" s="6"/>
      <c r="E470" s="7" t="str">
        <f>IF($G470="","",INDEX('EDS Lookup'!$F$6:$F$2819,$G470))</f>
        <v/>
      </c>
      <c r="F470" s="8" t="str">
        <f>IF($G470="","",INDEX('EDS Lookup'!$G$6:$G$2819,$G470))</f>
        <v/>
      </c>
      <c r="G470" t="str">
        <f>IF(447&lt;=$B$4,IFERROR(MATCH(447,'EDS Lookup'!$H$6:$H$2819,0),""),"")</f>
        <v/>
      </c>
      <c r="H470" t="str">
        <f t="shared" si="6"/>
        <v/>
      </c>
    </row>
    <row r="471" spans="1:8" ht="19.95" customHeight="1">
      <c r="A471" s="5" t="str">
        <f>IF($G471="","",INDEX('EDS Lookup'!$D$6:$D$2819,$G471))</f>
        <v/>
      </c>
      <c r="B471" s="5" t="str">
        <f>IF($G471="","",INDEX('EDS Lookup'!$B$6:$B$2819,$G471))</f>
        <v/>
      </c>
      <c r="C471" s="17"/>
      <c r="D471" s="6"/>
      <c r="E471" s="7" t="str">
        <f>IF($G471="","",INDEX('EDS Lookup'!$F$6:$F$2819,$G471))</f>
        <v/>
      </c>
      <c r="F471" s="8" t="str">
        <f>IF($G471="","",INDEX('EDS Lookup'!$G$6:$G$2819,$G471))</f>
        <v/>
      </c>
      <c r="G471" t="str">
        <f>IF(448&lt;=$B$4,IFERROR(MATCH(448,'EDS Lookup'!$H$6:$H$2819,0),""),"")</f>
        <v/>
      </c>
      <c r="H471" t="str">
        <f t="shared" si="6"/>
        <v/>
      </c>
    </row>
    <row r="472" spans="1:8" ht="19.95" customHeight="1">
      <c r="A472" s="5" t="str">
        <f>IF($G472="","",INDEX('EDS Lookup'!$D$6:$D$2819,$G472))</f>
        <v/>
      </c>
      <c r="B472" s="5" t="str">
        <f>IF($G472="","",INDEX('EDS Lookup'!$B$6:$B$2819,$G472))</f>
        <v/>
      </c>
      <c r="C472" s="17"/>
      <c r="D472" s="6"/>
      <c r="E472" s="7" t="str">
        <f>IF($G472="","",INDEX('EDS Lookup'!$F$6:$F$2819,$G472))</f>
        <v/>
      </c>
      <c r="F472" s="8" t="str">
        <f>IF($G472="","",INDEX('EDS Lookup'!$G$6:$G$2819,$G472))</f>
        <v/>
      </c>
      <c r="G472" t="str">
        <f>IF(449&lt;=$B$4,IFERROR(MATCH(449,'EDS Lookup'!$H$6:$H$2819,0),""),"")</f>
        <v/>
      </c>
      <c r="H472" t="str">
        <f t="shared" ref="H472:H535" si="7">IF(F472="&lt;5",5,IF(F472="&gt;95",95,IF(ISNUMBER(F472),F472,"")))</f>
        <v/>
      </c>
    </row>
    <row r="473" spans="1:8" ht="19.95" customHeight="1">
      <c r="A473" s="5" t="str">
        <f>IF($G473="","",INDEX('EDS Lookup'!$D$6:$D$2819,$G473))</f>
        <v/>
      </c>
      <c r="B473" s="5" t="str">
        <f>IF($G473="","",INDEX('EDS Lookup'!$B$6:$B$2819,$G473))</f>
        <v/>
      </c>
      <c r="C473" s="17"/>
      <c r="D473" s="6"/>
      <c r="E473" s="7" t="str">
        <f>IF($G473="","",INDEX('EDS Lookup'!$F$6:$F$2819,$G473))</f>
        <v/>
      </c>
      <c r="F473" s="8" t="str">
        <f>IF($G473="","",INDEX('EDS Lookup'!$G$6:$G$2819,$G473))</f>
        <v/>
      </c>
      <c r="G473" t="str">
        <f>IF(450&lt;=$B$4,IFERROR(MATCH(450,'EDS Lookup'!$H$6:$H$2819,0),""),"")</f>
        <v/>
      </c>
      <c r="H473" t="str">
        <f t="shared" si="7"/>
        <v/>
      </c>
    </row>
    <row r="474" spans="1:8" ht="19.95" customHeight="1">
      <c r="A474" s="5" t="str">
        <f>IF($G474="","",INDEX('EDS Lookup'!$D$6:$D$2819,$G474))</f>
        <v/>
      </c>
      <c r="B474" s="5" t="str">
        <f>IF($G474="","",INDEX('EDS Lookup'!$B$6:$B$2819,$G474))</f>
        <v/>
      </c>
      <c r="C474" s="17"/>
      <c r="D474" s="6"/>
      <c r="E474" s="7" t="str">
        <f>IF($G474="","",INDEX('EDS Lookup'!$F$6:$F$2819,$G474))</f>
        <v/>
      </c>
      <c r="F474" s="8" t="str">
        <f>IF($G474="","",INDEX('EDS Lookup'!$G$6:$G$2819,$G474))</f>
        <v/>
      </c>
      <c r="G474" t="str">
        <f>IF(451&lt;=$B$4,IFERROR(MATCH(451,'EDS Lookup'!$H$6:$H$2819,0),""),"")</f>
        <v/>
      </c>
      <c r="H474" t="str">
        <f t="shared" si="7"/>
        <v/>
      </c>
    </row>
    <row r="475" spans="1:8" ht="19.95" customHeight="1">
      <c r="A475" s="5" t="str">
        <f>IF($G475="","",INDEX('EDS Lookup'!$D$6:$D$2819,$G475))</f>
        <v/>
      </c>
      <c r="B475" s="5" t="str">
        <f>IF($G475="","",INDEX('EDS Lookup'!$B$6:$B$2819,$G475))</f>
        <v/>
      </c>
      <c r="C475" s="17"/>
      <c r="D475" s="6"/>
      <c r="E475" s="7" t="str">
        <f>IF($G475="","",INDEX('EDS Lookup'!$F$6:$F$2819,$G475))</f>
        <v/>
      </c>
      <c r="F475" s="8" t="str">
        <f>IF($G475="","",INDEX('EDS Lookup'!$G$6:$G$2819,$G475))</f>
        <v/>
      </c>
      <c r="G475" t="str">
        <f>IF(452&lt;=$B$4,IFERROR(MATCH(452,'EDS Lookup'!$H$6:$H$2819,0),""),"")</f>
        <v/>
      </c>
      <c r="H475" t="str">
        <f t="shared" si="7"/>
        <v/>
      </c>
    </row>
    <row r="476" spans="1:8" ht="19.95" customHeight="1">
      <c r="A476" s="5" t="str">
        <f>IF($G476="","",INDEX('EDS Lookup'!$D$6:$D$2819,$G476))</f>
        <v/>
      </c>
      <c r="B476" s="5" t="str">
        <f>IF($G476="","",INDEX('EDS Lookup'!$B$6:$B$2819,$G476))</f>
        <v/>
      </c>
      <c r="C476" s="17"/>
      <c r="D476" s="6"/>
      <c r="E476" s="7" t="str">
        <f>IF($G476="","",INDEX('EDS Lookup'!$F$6:$F$2819,$G476))</f>
        <v/>
      </c>
      <c r="F476" s="8" t="str">
        <f>IF($G476="","",INDEX('EDS Lookup'!$G$6:$G$2819,$G476))</f>
        <v/>
      </c>
      <c r="G476" t="str">
        <f>IF(453&lt;=$B$4,IFERROR(MATCH(453,'EDS Lookup'!$H$6:$H$2819,0),""),"")</f>
        <v/>
      </c>
      <c r="H476" t="str">
        <f t="shared" si="7"/>
        <v/>
      </c>
    </row>
    <row r="477" spans="1:8" ht="19.95" customHeight="1">
      <c r="A477" s="5" t="str">
        <f>IF($G477="","",INDEX('EDS Lookup'!$D$6:$D$2819,$G477))</f>
        <v/>
      </c>
      <c r="B477" s="5" t="str">
        <f>IF($G477="","",INDEX('EDS Lookup'!$B$6:$B$2819,$G477))</f>
        <v/>
      </c>
      <c r="C477" s="17"/>
      <c r="D477" s="6"/>
      <c r="E477" s="7" t="str">
        <f>IF($G477="","",INDEX('EDS Lookup'!$F$6:$F$2819,$G477))</f>
        <v/>
      </c>
      <c r="F477" s="8" t="str">
        <f>IF($G477="","",INDEX('EDS Lookup'!$G$6:$G$2819,$G477))</f>
        <v/>
      </c>
      <c r="G477" t="str">
        <f>IF(454&lt;=$B$4,IFERROR(MATCH(454,'EDS Lookup'!$H$6:$H$2819,0),""),"")</f>
        <v/>
      </c>
      <c r="H477" t="str">
        <f t="shared" si="7"/>
        <v/>
      </c>
    </row>
    <row r="478" spans="1:8" ht="19.95" customHeight="1">
      <c r="A478" s="5" t="str">
        <f>IF($G478="","",INDEX('EDS Lookup'!$D$6:$D$2819,$G478))</f>
        <v/>
      </c>
      <c r="B478" s="5" t="str">
        <f>IF($G478="","",INDEX('EDS Lookup'!$B$6:$B$2819,$G478))</f>
        <v/>
      </c>
      <c r="C478" s="17"/>
      <c r="D478" s="6"/>
      <c r="E478" s="7" t="str">
        <f>IF($G478="","",INDEX('EDS Lookup'!$F$6:$F$2819,$G478))</f>
        <v/>
      </c>
      <c r="F478" s="8" t="str">
        <f>IF($G478="","",INDEX('EDS Lookup'!$G$6:$G$2819,$G478))</f>
        <v/>
      </c>
      <c r="G478" t="str">
        <f>IF(455&lt;=$B$4,IFERROR(MATCH(455,'EDS Lookup'!$H$6:$H$2819,0),""),"")</f>
        <v/>
      </c>
      <c r="H478" t="str">
        <f t="shared" si="7"/>
        <v/>
      </c>
    </row>
    <row r="479" spans="1:8" ht="19.95" customHeight="1">
      <c r="A479" s="5" t="str">
        <f>IF($G479="","",INDEX('EDS Lookup'!$D$6:$D$2819,$G479))</f>
        <v/>
      </c>
      <c r="B479" s="5" t="str">
        <f>IF($G479="","",INDEX('EDS Lookup'!$B$6:$B$2819,$G479))</f>
        <v/>
      </c>
      <c r="C479" s="17"/>
      <c r="D479" s="6"/>
      <c r="E479" s="7" t="str">
        <f>IF($G479="","",INDEX('EDS Lookup'!$F$6:$F$2819,$G479))</f>
        <v/>
      </c>
      <c r="F479" s="8" t="str">
        <f>IF($G479="","",INDEX('EDS Lookup'!$G$6:$G$2819,$G479))</f>
        <v/>
      </c>
      <c r="G479" t="str">
        <f>IF(456&lt;=$B$4,IFERROR(MATCH(456,'EDS Lookup'!$H$6:$H$2819,0),""),"")</f>
        <v/>
      </c>
      <c r="H479" t="str">
        <f t="shared" si="7"/>
        <v/>
      </c>
    </row>
    <row r="480" spans="1:8" ht="19.95" customHeight="1">
      <c r="A480" s="5" t="str">
        <f>IF($G480="","",INDEX('EDS Lookup'!$D$6:$D$2819,$G480))</f>
        <v/>
      </c>
      <c r="B480" s="5" t="str">
        <f>IF($G480="","",INDEX('EDS Lookup'!$B$6:$B$2819,$G480))</f>
        <v/>
      </c>
      <c r="C480" s="17"/>
      <c r="D480" s="6"/>
      <c r="E480" s="7" t="str">
        <f>IF($G480="","",INDEX('EDS Lookup'!$F$6:$F$2819,$G480))</f>
        <v/>
      </c>
      <c r="F480" s="8" t="str">
        <f>IF($G480="","",INDEX('EDS Lookup'!$G$6:$G$2819,$G480))</f>
        <v/>
      </c>
      <c r="G480" t="str">
        <f>IF(457&lt;=$B$4,IFERROR(MATCH(457,'EDS Lookup'!$H$6:$H$2819,0),""),"")</f>
        <v/>
      </c>
      <c r="H480" t="str">
        <f t="shared" si="7"/>
        <v/>
      </c>
    </row>
    <row r="481" spans="1:8" ht="19.95" customHeight="1">
      <c r="A481" s="5" t="str">
        <f>IF($G481="","",INDEX('EDS Lookup'!$D$6:$D$2819,$G481))</f>
        <v/>
      </c>
      <c r="B481" s="5" t="str">
        <f>IF($G481="","",INDEX('EDS Lookup'!$B$6:$B$2819,$G481))</f>
        <v/>
      </c>
      <c r="C481" s="17"/>
      <c r="D481" s="6"/>
      <c r="E481" s="7" t="str">
        <f>IF($G481="","",INDEX('EDS Lookup'!$F$6:$F$2819,$G481))</f>
        <v/>
      </c>
      <c r="F481" s="8" t="str">
        <f>IF($G481="","",INDEX('EDS Lookup'!$G$6:$G$2819,$G481))</f>
        <v/>
      </c>
      <c r="G481" t="str">
        <f>IF(458&lt;=$B$4,IFERROR(MATCH(458,'EDS Lookup'!$H$6:$H$2819,0),""),"")</f>
        <v/>
      </c>
      <c r="H481" t="str">
        <f t="shared" si="7"/>
        <v/>
      </c>
    </row>
    <row r="482" spans="1:8" ht="19.95" customHeight="1">
      <c r="A482" s="5" t="str">
        <f>IF($G482="","",INDEX('EDS Lookup'!$D$6:$D$2819,$G482))</f>
        <v/>
      </c>
      <c r="B482" s="5" t="str">
        <f>IF($G482="","",INDEX('EDS Lookup'!$B$6:$B$2819,$G482))</f>
        <v/>
      </c>
      <c r="C482" s="17"/>
      <c r="D482" s="6"/>
      <c r="E482" s="7" t="str">
        <f>IF($G482="","",INDEX('EDS Lookup'!$F$6:$F$2819,$G482))</f>
        <v/>
      </c>
      <c r="F482" s="8" t="str">
        <f>IF($G482="","",INDEX('EDS Lookup'!$G$6:$G$2819,$G482))</f>
        <v/>
      </c>
      <c r="G482" t="str">
        <f>IF(459&lt;=$B$4,IFERROR(MATCH(459,'EDS Lookup'!$H$6:$H$2819,0),""),"")</f>
        <v/>
      </c>
      <c r="H482" t="str">
        <f t="shared" si="7"/>
        <v/>
      </c>
    </row>
    <row r="483" spans="1:8" ht="19.95" customHeight="1">
      <c r="A483" s="5" t="str">
        <f>IF($G483="","",INDEX('EDS Lookup'!$D$6:$D$2819,$G483))</f>
        <v/>
      </c>
      <c r="B483" s="5" t="str">
        <f>IF($G483="","",INDEX('EDS Lookup'!$B$6:$B$2819,$G483))</f>
        <v/>
      </c>
      <c r="C483" s="17"/>
      <c r="D483" s="6"/>
      <c r="E483" s="7" t="str">
        <f>IF($G483="","",INDEX('EDS Lookup'!$F$6:$F$2819,$G483))</f>
        <v/>
      </c>
      <c r="F483" s="8" t="str">
        <f>IF($G483="","",INDEX('EDS Lookup'!$G$6:$G$2819,$G483))</f>
        <v/>
      </c>
      <c r="G483" t="str">
        <f>IF(460&lt;=$B$4,IFERROR(MATCH(460,'EDS Lookup'!$H$6:$H$2819,0),""),"")</f>
        <v/>
      </c>
      <c r="H483" t="str">
        <f t="shared" si="7"/>
        <v/>
      </c>
    </row>
    <row r="484" spans="1:8" ht="19.95" customHeight="1">
      <c r="A484" s="5" t="str">
        <f>IF($G484="","",INDEX('EDS Lookup'!$D$6:$D$2819,$G484))</f>
        <v/>
      </c>
      <c r="B484" s="5" t="str">
        <f>IF($G484="","",INDEX('EDS Lookup'!$B$6:$B$2819,$G484))</f>
        <v/>
      </c>
      <c r="C484" s="17"/>
      <c r="D484" s="6"/>
      <c r="E484" s="7" t="str">
        <f>IF($G484="","",INDEX('EDS Lookup'!$F$6:$F$2819,$G484))</f>
        <v/>
      </c>
      <c r="F484" s="8" t="str">
        <f>IF($G484="","",INDEX('EDS Lookup'!$G$6:$G$2819,$G484))</f>
        <v/>
      </c>
      <c r="G484" t="str">
        <f>IF(461&lt;=$B$4,IFERROR(MATCH(461,'EDS Lookup'!$H$6:$H$2819,0),""),"")</f>
        <v/>
      </c>
      <c r="H484" t="str">
        <f t="shared" si="7"/>
        <v/>
      </c>
    </row>
    <row r="485" spans="1:8" ht="19.95" customHeight="1">
      <c r="A485" s="5" t="str">
        <f>IF($G485="","",INDEX('EDS Lookup'!$D$6:$D$2819,$G485))</f>
        <v/>
      </c>
      <c r="B485" s="5" t="str">
        <f>IF($G485="","",INDEX('EDS Lookup'!$B$6:$B$2819,$G485))</f>
        <v/>
      </c>
      <c r="C485" s="17"/>
      <c r="D485" s="6"/>
      <c r="E485" s="7" t="str">
        <f>IF($G485="","",INDEX('EDS Lookup'!$F$6:$F$2819,$G485))</f>
        <v/>
      </c>
      <c r="F485" s="8" t="str">
        <f>IF($G485="","",INDEX('EDS Lookup'!$G$6:$G$2819,$G485))</f>
        <v/>
      </c>
      <c r="G485" t="str">
        <f>IF(462&lt;=$B$4,IFERROR(MATCH(462,'EDS Lookup'!$H$6:$H$2819,0),""),"")</f>
        <v/>
      </c>
      <c r="H485" t="str">
        <f t="shared" si="7"/>
        <v/>
      </c>
    </row>
    <row r="486" spans="1:8" ht="19.95" customHeight="1">
      <c r="A486" s="5" t="str">
        <f>IF($G486="","",INDEX('EDS Lookup'!$D$6:$D$2819,$G486))</f>
        <v/>
      </c>
      <c r="B486" s="5" t="str">
        <f>IF($G486="","",INDEX('EDS Lookup'!$B$6:$B$2819,$G486))</f>
        <v/>
      </c>
      <c r="C486" s="17"/>
      <c r="D486" s="6"/>
      <c r="E486" s="7" t="str">
        <f>IF($G486="","",INDEX('EDS Lookup'!$F$6:$F$2819,$G486))</f>
        <v/>
      </c>
      <c r="F486" s="8" t="str">
        <f>IF($G486="","",INDEX('EDS Lookup'!$G$6:$G$2819,$G486))</f>
        <v/>
      </c>
      <c r="G486" t="str">
        <f>IF(463&lt;=$B$4,IFERROR(MATCH(463,'EDS Lookup'!$H$6:$H$2819,0),""),"")</f>
        <v/>
      </c>
      <c r="H486" t="str">
        <f t="shared" si="7"/>
        <v/>
      </c>
    </row>
    <row r="487" spans="1:8" ht="19.95" customHeight="1">
      <c r="A487" s="5" t="str">
        <f>IF($G487="","",INDEX('EDS Lookup'!$D$6:$D$2819,$G487))</f>
        <v/>
      </c>
      <c r="B487" s="5" t="str">
        <f>IF($G487="","",INDEX('EDS Lookup'!$B$6:$B$2819,$G487))</f>
        <v/>
      </c>
      <c r="C487" s="17"/>
      <c r="D487" s="6"/>
      <c r="E487" s="7" t="str">
        <f>IF($G487="","",INDEX('EDS Lookup'!$F$6:$F$2819,$G487))</f>
        <v/>
      </c>
      <c r="F487" s="8" t="str">
        <f>IF($G487="","",INDEX('EDS Lookup'!$G$6:$G$2819,$G487))</f>
        <v/>
      </c>
      <c r="G487" t="str">
        <f>IF(464&lt;=$B$4,IFERROR(MATCH(464,'EDS Lookup'!$H$6:$H$2819,0),""),"")</f>
        <v/>
      </c>
      <c r="H487" t="str">
        <f t="shared" si="7"/>
        <v/>
      </c>
    </row>
    <row r="488" spans="1:8" ht="19.95" customHeight="1">
      <c r="A488" s="5" t="str">
        <f>IF($G488="","",INDEX('EDS Lookup'!$D$6:$D$2819,$G488))</f>
        <v/>
      </c>
      <c r="B488" s="5" t="str">
        <f>IF($G488="","",INDEX('EDS Lookup'!$B$6:$B$2819,$G488))</f>
        <v/>
      </c>
      <c r="C488" s="17"/>
      <c r="D488" s="6"/>
      <c r="E488" s="7" t="str">
        <f>IF($G488="","",INDEX('EDS Lookup'!$F$6:$F$2819,$G488))</f>
        <v/>
      </c>
      <c r="F488" s="8" t="str">
        <f>IF($G488="","",INDEX('EDS Lookup'!$G$6:$G$2819,$G488))</f>
        <v/>
      </c>
      <c r="G488" t="str">
        <f>IF(465&lt;=$B$4,IFERROR(MATCH(465,'EDS Lookup'!$H$6:$H$2819,0),""),"")</f>
        <v/>
      </c>
      <c r="H488" t="str">
        <f t="shared" si="7"/>
        <v/>
      </c>
    </row>
    <row r="489" spans="1:8" ht="19.95" customHeight="1">
      <c r="A489" s="5" t="str">
        <f>IF($G489="","",INDEX('EDS Lookup'!$D$6:$D$2819,$G489))</f>
        <v/>
      </c>
      <c r="B489" s="5" t="str">
        <f>IF($G489="","",INDEX('EDS Lookup'!$B$6:$B$2819,$G489))</f>
        <v/>
      </c>
      <c r="C489" s="17"/>
      <c r="D489" s="6"/>
      <c r="E489" s="7" t="str">
        <f>IF($G489="","",INDEX('EDS Lookup'!$F$6:$F$2819,$G489))</f>
        <v/>
      </c>
      <c r="F489" s="8" t="str">
        <f>IF($G489="","",INDEX('EDS Lookup'!$G$6:$G$2819,$G489))</f>
        <v/>
      </c>
      <c r="G489" t="str">
        <f>IF(466&lt;=$B$4,IFERROR(MATCH(466,'EDS Lookup'!$H$6:$H$2819,0),""),"")</f>
        <v/>
      </c>
      <c r="H489" t="str">
        <f t="shared" si="7"/>
        <v/>
      </c>
    </row>
    <row r="490" spans="1:8" ht="19.95" customHeight="1">
      <c r="A490" s="5" t="str">
        <f>IF($G490="","",INDEX('EDS Lookup'!$D$6:$D$2819,$G490))</f>
        <v/>
      </c>
      <c r="B490" s="5" t="str">
        <f>IF($G490="","",INDEX('EDS Lookup'!$B$6:$B$2819,$G490))</f>
        <v/>
      </c>
      <c r="C490" s="17"/>
      <c r="D490" s="6"/>
      <c r="E490" s="7" t="str">
        <f>IF($G490="","",INDEX('EDS Lookup'!$F$6:$F$2819,$G490))</f>
        <v/>
      </c>
      <c r="F490" s="8" t="str">
        <f>IF($G490="","",INDEX('EDS Lookup'!$G$6:$G$2819,$G490))</f>
        <v/>
      </c>
      <c r="G490" t="str">
        <f>IF(467&lt;=$B$4,IFERROR(MATCH(467,'EDS Lookup'!$H$6:$H$2819,0),""),"")</f>
        <v/>
      </c>
      <c r="H490" t="str">
        <f t="shared" si="7"/>
        <v/>
      </c>
    </row>
    <row r="491" spans="1:8" ht="19.95" customHeight="1">
      <c r="A491" s="5" t="str">
        <f>IF($G491="","",INDEX('EDS Lookup'!$D$6:$D$2819,$G491))</f>
        <v/>
      </c>
      <c r="B491" s="5" t="str">
        <f>IF($G491="","",INDEX('EDS Lookup'!$B$6:$B$2819,$G491))</f>
        <v/>
      </c>
      <c r="C491" s="17"/>
      <c r="D491" s="6"/>
      <c r="E491" s="7" t="str">
        <f>IF($G491="","",INDEX('EDS Lookup'!$F$6:$F$2819,$G491))</f>
        <v/>
      </c>
      <c r="F491" s="8" t="str">
        <f>IF($G491="","",INDEX('EDS Lookup'!$G$6:$G$2819,$G491))</f>
        <v/>
      </c>
      <c r="G491" t="str">
        <f>IF(468&lt;=$B$4,IFERROR(MATCH(468,'EDS Lookup'!$H$6:$H$2819,0),""),"")</f>
        <v/>
      </c>
      <c r="H491" t="str">
        <f t="shared" si="7"/>
        <v/>
      </c>
    </row>
    <row r="492" spans="1:8" ht="19.95" customHeight="1">
      <c r="A492" s="5" t="str">
        <f>IF($G492="","",INDEX('EDS Lookup'!$D$6:$D$2819,$G492))</f>
        <v/>
      </c>
      <c r="B492" s="5" t="str">
        <f>IF($G492="","",INDEX('EDS Lookup'!$B$6:$B$2819,$G492))</f>
        <v/>
      </c>
      <c r="C492" s="17"/>
      <c r="D492" s="6"/>
      <c r="E492" s="7" t="str">
        <f>IF($G492="","",INDEX('EDS Lookup'!$F$6:$F$2819,$G492))</f>
        <v/>
      </c>
      <c r="F492" s="8" t="str">
        <f>IF($G492="","",INDEX('EDS Lookup'!$G$6:$G$2819,$G492))</f>
        <v/>
      </c>
      <c r="G492" t="str">
        <f>IF(469&lt;=$B$4,IFERROR(MATCH(469,'EDS Lookup'!$H$6:$H$2819,0),""),"")</f>
        <v/>
      </c>
      <c r="H492" t="str">
        <f t="shared" si="7"/>
        <v/>
      </c>
    </row>
    <row r="493" spans="1:8" ht="19.95" customHeight="1">
      <c r="A493" s="5" t="str">
        <f>IF($G493="","",INDEX('EDS Lookup'!$D$6:$D$2819,$G493))</f>
        <v/>
      </c>
      <c r="B493" s="5" t="str">
        <f>IF($G493="","",INDEX('EDS Lookup'!$B$6:$B$2819,$G493))</f>
        <v/>
      </c>
      <c r="C493" s="17"/>
      <c r="D493" s="6"/>
      <c r="E493" s="7" t="str">
        <f>IF($G493="","",INDEX('EDS Lookup'!$F$6:$F$2819,$G493))</f>
        <v/>
      </c>
      <c r="F493" s="8" t="str">
        <f>IF($G493="","",INDEX('EDS Lookup'!$G$6:$G$2819,$G493))</f>
        <v/>
      </c>
      <c r="G493" t="str">
        <f>IF(470&lt;=$B$4,IFERROR(MATCH(470,'EDS Lookup'!$H$6:$H$2819,0),""),"")</f>
        <v/>
      </c>
      <c r="H493" t="str">
        <f t="shared" si="7"/>
        <v/>
      </c>
    </row>
    <row r="494" spans="1:8" ht="19.95" customHeight="1">
      <c r="A494" s="5" t="str">
        <f>IF($G494="","",INDEX('EDS Lookup'!$D$6:$D$2819,$G494))</f>
        <v/>
      </c>
      <c r="B494" s="5" t="str">
        <f>IF($G494="","",INDEX('EDS Lookup'!$B$6:$B$2819,$G494))</f>
        <v/>
      </c>
      <c r="C494" s="17"/>
      <c r="D494" s="6"/>
      <c r="E494" s="7" t="str">
        <f>IF($G494="","",INDEX('EDS Lookup'!$F$6:$F$2819,$G494))</f>
        <v/>
      </c>
      <c r="F494" s="8" t="str">
        <f>IF($G494="","",INDEX('EDS Lookup'!$G$6:$G$2819,$G494))</f>
        <v/>
      </c>
      <c r="G494" t="str">
        <f>IF(471&lt;=$B$4,IFERROR(MATCH(471,'EDS Lookup'!$H$6:$H$2819,0),""),"")</f>
        <v/>
      </c>
      <c r="H494" t="str">
        <f t="shared" si="7"/>
        <v/>
      </c>
    </row>
    <row r="495" spans="1:8" ht="19.95" customHeight="1">
      <c r="A495" s="5" t="str">
        <f>IF($G495="","",INDEX('EDS Lookup'!$D$6:$D$2819,$G495))</f>
        <v/>
      </c>
      <c r="B495" s="5" t="str">
        <f>IF($G495="","",INDEX('EDS Lookup'!$B$6:$B$2819,$G495))</f>
        <v/>
      </c>
      <c r="C495" s="17"/>
      <c r="D495" s="6"/>
      <c r="E495" s="7" t="str">
        <f>IF($G495="","",INDEX('EDS Lookup'!$F$6:$F$2819,$G495))</f>
        <v/>
      </c>
      <c r="F495" s="8" t="str">
        <f>IF($G495="","",INDEX('EDS Lookup'!$G$6:$G$2819,$G495))</f>
        <v/>
      </c>
      <c r="G495" t="str">
        <f>IF(472&lt;=$B$4,IFERROR(MATCH(472,'EDS Lookup'!$H$6:$H$2819,0),""),"")</f>
        <v/>
      </c>
      <c r="H495" t="str">
        <f t="shared" si="7"/>
        <v/>
      </c>
    </row>
    <row r="496" spans="1:8" ht="19.95" customHeight="1">
      <c r="A496" s="5" t="str">
        <f>IF($G496="","",INDEX('EDS Lookup'!$D$6:$D$2819,$G496))</f>
        <v/>
      </c>
      <c r="B496" s="5" t="str">
        <f>IF($G496="","",INDEX('EDS Lookup'!$B$6:$B$2819,$G496))</f>
        <v/>
      </c>
      <c r="C496" s="17"/>
      <c r="D496" s="6"/>
      <c r="E496" s="7" t="str">
        <f>IF($G496="","",INDEX('EDS Lookup'!$F$6:$F$2819,$G496))</f>
        <v/>
      </c>
      <c r="F496" s="8" t="str">
        <f>IF($G496="","",INDEX('EDS Lookup'!$G$6:$G$2819,$G496))</f>
        <v/>
      </c>
      <c r="G496" t="str">
        <f>IF(473&lt;=$B$4,IFERROR(MATCH(473,'EDS Lookup'!$H$6:$H$2819,0),""),"")</f>
        <v/>
      </c>
      <c r="H496" t="str">
        <f t="shared" si="7"/>
        <v/>
      </c>
    </row>
    <row r="497" spans="1:8" ht="19.95" customHeight="1">
      <c r="A497" s="5" t="str">
        <f>IF($G497="","",INDEX('EDS Lookup'!$D$6:$D$2819,$G497))</f>
        <v/>
      </c>
      <c r="B497" s="5" t="str">
        <f>IF($G497="","",INDEX('EDS Lookup'!$B$6:$B$2819,$G497))</f>
        <v/>
      </c>
      <c r="C497" s="17"/>
      <c r="D497" s="6"/>
      <c r="E497" s="7" t="str">
        <f>IF($G497="","",INDEX('EDS Lookup'!$F$6:$F$2819,$G497))</f>
        <v/>
      </c>
      <c r="F497" s="8" t="str">
        <f>IF($G497="","",INDEX('EDS Lookup'!$G$6:$G$2819,$G497))</f>
        <v/>
      </c>
      <c r="G497" t="str">
        <f>IF(474&lt;=$B$4,IFERROR(MATCH(474,'EDS Lookup'!$H$6:$H$2819,0),""),"")</f>
        <v/>
      </c>
      <c r="H497" t="str">
        <f t="shared" si="7"/>
        <v/>
      </c>
    </row>
    <row r="498" spans="1:8" ht="19.95" customHeight="1">
      <c r="A498" s="5" t="str">
        <f>IF($G498="","",INDEX('EDS Lookup'!$D$6:$D$2819,$G498))</f>
        <v/>
      </c>
      <c r="B498" s="5" t="str">
        <f>IF($G498="","",INDEX('EDS Lookup'!$B$6:$B$2819,$G498))</f>
        <v/>
      </c>
      <c r="C498" s="17"/>
      <c r="D498" s="6"/>
      <c r="E498" s="7" t="str">
        <f>IF($G498="","",INDEX('EDS Lookup'!$F$6:$F$2819,$G498))</f>
        <v/>
      </c>
      <c r="F498" s="8" t="str">
        <f>IF($G498="","",INDEX('EDS Lookup'!$G$6:$G$2819,$G498))</f>
        <v/>
      </c>
      <c r="G498" t="str">
        <f>IF(475&lt;=$B$4,IFERROR(MATCH(475,'EDS Lookup'!$H$6:$H$2819,0),""),"")</f>
        <v/>
      </c>
      <c r="H498" t="str">
        <f t="shared" si="7"/>
        <v/>
      </c>
    </row>
    <row r="499" spans="1:8" ht="19.95" customHeight="1">
      <c r="A499" s="5" t="str">
        <f>IF($G499="","",INDEX('EDS Lookup'!$D$6:$D$2819,$G499))</f>
        <v/>
      </c>
      <c r="B499" s="5" t="str">
        <f>IF($G499="","",INDEX('EDS Lookup'!$B$6:$B$2819,$G499))</f>
        <v/>
      </c>
      <c r="C499" s="17"/>
      <c r="D499" s="6"/>
      <c r="E499" s="7" t="str">
        <f>IF($G499="","",INDEX('EDS Lookup'!$F$6:$F$2819,$G499))</f>
        <v/>
      </c>
      <c r="F499" s="8" t="str">
        <f>IF($G499="","",INDEX('EDS Lookup'!$G$6:$G$2819,$G499))</f>
        <v/>
      </c>
      <c r="G499" t="str">
        <f>IF(476&lt;=$B$4,IFERROR(MATCH(476,'EDS Lookup'!$H$6:$H$2819,0),""),"")</f>
        <v/>
      </c>
      <c r="H499" t="str">
        <f t="shared" si="7"/>
        <v/>
      </c>
    </row>
    <row r="500" spans="1:8" ht="19.95" customHeight="1">
      <c r="A500" s="5" t="str">
        <f>IF($G500="","",INDEX('EDS Lookup'!$D$6:$D$2819,$G500))</f>
        <v/>
      </c>
      <c r="B500" s="5" t="str">
        <f>IF($G500="","",INDEX('EDS Lookup'!$B$6:$B$2819,$G500))</f>
        <v/>
      </c>
      <c r="C500" s="17"/>
      <c r="D500" s="6"/>
      <c r="E500" s="7" t="str">
        <f>IF($G500="","",INDEX('EDS Lookup'!$F$6:$F$2819,$G500))</f>
        <v/>
      </c>
      <c r="F500" s="8" t="str">
        <f>IF($G500="","",INDEX('EDS Lookup'!$G$6:$G$2819,$G500))</f>
        <v/>
      </c>
      <c r="G500" t="str">
        <f>IF(477&lt;=$B$4,IFERROR(MATCH(477,'EDS Lookup'!$H$6:$H$2819,0),""),"")</f>
        <v/>
      </c>
      <c r="H500" t="str">
        <f t="shared" si="7"/>
        <v/>
      </c>
    </row>
    <row r="501" spans="1:8" ht="19.95" customHeight="1">
      <c r="A501" s="5" t="str">
        <f>IF($G501="","",INDEX('EDS Lookup'!$D$6:$D$2819,$G501))</f>
        <v/>
      </c>
      <c r="B501" s="5" t="str">
        <f>IF($G501="","",INDEX('EDS Lookup'!$B$6:$B$2819,$G501))</f>
        <v/>
      </c>
      <c r="C501" s="17"/>
      <c r="D501" s="6"/>
      <c r="E501" s="7" t="str">
        <f>IF($G501="","",INDEX('EDS Lookup'!$F$6:$F$2819,$G501))</f>
        <v/>
      </c>
      <c r="F501" s="8" t="str">
        <f>IF($G501="","",INDEX('EDS Lookup'!$G$6:$G$2819,$G501))</f>
        <v/>
      </c>
      <c r="G501" t="str">
        <f>IF(478&lt;=$B$4,IFERROR(MATCH(478,'EDS Lookup'!$H$6:$H$2819,0),""),"")</f>
        <v/>
      </c>
      <c r="H501" t="str">
        <f t="shared" si="7"/>
        <v/>
      </c>
    </row>
    <row r="502" spans="1:8" ht="19.95" customHeight="1">
      <c r="A502" s="5" t="str">
        <f>IF($G502="","",INDEX('EDS Lookup'!$D$6:$D$2819,$G502))</f>
        <v/>
      </c>
      <c r="B502" s="5" t="str">
        <f>IF($G502="","",INDEX('EDS Lookup'!$B$6:$B$2819,$G502))</f>
        <v/>
      </c>
      <c r="C502" s="17"/>
      <c r="D502" s="6"/>
      <c r="E502" s="7" t="str">
        <f>IF($G502="","",INDEX('EDS Lookup'!$F$6:$F$2819,$G502))</f>
        <v/>
      </c>
      <c r="F502" s="8" t="str">
        <f>IF($G502="","",INDEX('EDS Lookup'!$G$6:$G$2819,$G502))</f>
        <v/>
      </c>
      <c r="G502" t="str">
        <f>IF(479&lt;=$B$4,IFERROR(MATCH(479,'EDS Lookup'!$H$6:$H$2819,0),""),"")</f>
        <v/>
      </c>
      <c r="H502" t="str">
        <f t="shared" si="7"/>
        <v/>
      </c>
    </row>
    <row r="503" spans="1:8" ht="19.95" customHeight="1">
      <c r="A503" s="5" t="str">
        <f>IF($G503="","",INDEX('EDS Lookup'!$D$6:$D$2819,$G503))</f>
        <v/>
      </c>
      <c r="B503" s="5" t="str">
        <f>IF($G503="","",INDEX('EDS Lookup'!$B$6:$B$2819,$G503))</f>
        <v/>
      </c>
      <c r="C503" s="17"/>
      <c r="D503" s="6"/>
      <c r="E503" s="7" t="str">
        <f>IF($G503="","",INDEX('EDS Lookup'!$F$6:$F$2819,$G503))</f>
        <v/>
      </c>
      <c r="F503" s="8" t="str">
        <f>IF($G503="","",INDEX('EDS Lookup'!$G$6:$G$2819,$G503))</f>
        <v/>
      </c>
      <c r="G503" t="str">
        <f>IF(480&lt;=$B$4,IFERROR(MATCH(480,'EDS Lookup'!$H$6:$H$2819,0),""),"")</f>
        <v/>
      </c>
      <c r="H503" t="str">
        <f t="shared" si="7"/>
        <v/>
      </c>
    </row>
    <row r="504" spans="1:8" ht="19.95" customHeight="1">
      <c r="A504" s="5" t="str">
        <f>IF($G504="","",INDEX('EDS Lookup'!$D$6:$D$2819,$G504))</f>
        <v/>
      </c>
      <c r="B504" s="5" t="str">
        <f>IF($G504="","",INDEX('EDS Lookup'!$B$6:$B$2819,$G504))</f>
        <v/>
      </c>
      <c r="C504" s="17"/>
      <c r="D504" s="6"/>
      <c r="E504" s="7" t="str">
        <f>IF($G504="","",INDEX('EDS Lookup'!$F$6:$F$2819,$G504))</f>
        <v/>
      </c>
      <c r="F504" s="8" t="str">
        <f>IF($G504="","",INDEX('EDS Lookup'!$G$6:$G$2819,$G504))</f>
        <v/>
      </c>
      <c r="G504" t="str">
        <f>IF(481&lt;=$B$4,IFERROR(MATCH(481,'EDS Lookup'!$H$6:$H$2819,0),""),"")</f>
        <v/>
      </c>
      <c r="H504" t="str">
        <f t="shared" si="7"/>
        <v/>
      </c>
    </row>
    <row r="505" spans="1:8" ht="19.95" customHeight="1">
      <c r="A505" s="5" t="str">
        <f>IF($G505="","",INDEX('EDS Lookup'!$D$6:$D$2819,$G505))</f>
        <v/>
      </c>
      <c r="B505" s="5" t="str">
        <f>IF($G505="","",INDEX('EDS Lookup'!$B$6:$B$2819,$G505))</f>
        <v/>
      </c>
      <c r="C505" s="17"/>
      <c r="D505" s="6"/>
      <c r="E505" s="7" t="str">
        <f>IF($G505="","",INDEX('EDS Lookup'!$F$6:$F$2819,$G505))</f>
        <v/>
      </c>
      <c r="F505" s="8" t="str">
        <f>IF($G505="","",INDEX('EDS Lookup'!$G$6:$G$2819,$G505))</f>
        <v/>
      </c>
      <c r="G505" t="str">
        <f>IF(482&lt;=$B$4,IFERROR(MATCH(482,'EDS Lookup'!$H$6:$H$2819,0),""),"")</f>
        <v/>
      </c>
      <c r="H505" t="str">
        <f t="shared" si="7"/>
        <v/>
      </c>
    </row>
    <row r="506" spans="1:8" ht="19.95" customHeight="1">
      <c r="A506" s="5" t="str">
        <f>IF($G506="","",INDEX('EDS Lookup'!$D$6:$D$2819,$G506))</f>
        <v/>
      </c>
      <c r="B506" s="5" t="str">
        <f>IF($G506="","",INDEX('EDS Lookup'!$B$6:$B$2819,$G506))</f>
        <v/>
      </c>
      <c r="C506" s="17"/>
      <c r="D506" s="6"/>
      <c r="E506" s="7" t="str">
        <f>IF($G506="","",INDEX('EDS Lookup'!$F$6:$F$2819,$G506))</f>
        <v/>
      </c>
      <c r="F506" s="8" t="str">
        <f>IF($G506="","",INDEX('EDS Lookup'!$G$6:$G$2819,$G506))</f>
        <v/>
      </c>
      <c r="G506" t="str">
        <f>IF(483&lt;=$B$4,IFERROR(MATCH(483,'EDS Lookup'!$H$6:$H$2819,0),""),"")</f>
        <v/>
      </c>
      <c r="H506" t="str">
        <f t="shared" si="7"/>
        <v/>
      </c>
    </row>
    <row r="507" spans="1:8" ht="19.95" customHeight="1">
      <c r="A507" s="5" t="str">
        <f>IF($G507="","",INDEX('EDS Lookup'!$D$6:$D$2819,$G507))</f>
        <v/>
      </c>
      <c r="B507" s="5" t="str">
        <f>IF($G507="","",INDEX('EDS Lookup'!$B$6:$B$2819,$G507))</f>
        <v/>
      </c>
      <c r="C507" s="17"/>
      <c r="D507" s="6"/>
      <c r="E507" s="7" t="str">
        <f>IF($G507="","",INDEX('EDS Lookup'!$F$6:$F$2819,$G507))</f>
        <v/>
      </c>
      <c r="F507" s="8" t="str">
        <f>IF($G507="","",INDEX('EDS Lookup'!$G$6:$G$2819,$G507))</f>
        <v/>
      </c>
      <c r="G507" t="str">
        <f>IF(484&lt;=$B$4,IFERROR(MATCH(484,'EDS Lookup'!$H$6:$H$2819,0),""),"")</f>
        <v/>
      </c>
      <c r="H507" t="str">
        <f t="shared" si="7"/>
        <v/>
      </c>
    </row>
    <row r="508" spans="1:8" ht="19.95" customHeight="1">
      <c r="A508" s="5" t="str">
        <f>IF($G508="","",INDEX('EDS Lookup'!$D$6:$D$2819,$G508))</f>
        <v/>
      </c>
      <c r="B508" s="5" t="str">
        <f>IF($G508="","",INDEX('EDS Lookup'!$B$6:$B$2819,$G508))</f>
        <v/>
      </c>
      <c r="C508" s="17"/>
      <c r="D508" s="6"/>
      <c r="E508" s="7" t="str">
        <f>IF($G508="","",INDEX('EDS Lookup'!$F$6:$F$2819,$G508))</f>
        <v/>
      </c>
      <c r="F508" s="8" t="str">
        <f>IF($G508="","",INDEX('EDS Lookup'!$G$6:$G$2819,$G508))</f>
        <v/>
      </c>
      <c r="G508" t="str">
        <f>IF(485&lt;=$B$4,IFERROR(MATCH(485,'EDS Lookup'!$H$6:$H$2819,0),""),"")</f>
        <v/>
      </c>
      <c r="H508" t="str">
        <f t="shared" si="7"/>
        <v/>
      </c>
    </row>
    <row r="509" spans="1:8" ht="19.95" customHeight="1">
      <c r="A509" s="5" t="str">
        <f>IF($G509="","",INDEX('EDS Lookup'!$D$6:$D$2819,$G509))</f>
        <v/>
      </c>
      <c r="B509" s="5" t="str">
        <f>IF($G509="","",INDEX('EDS Lookup'!$B$6:$B$2819,$G509))</f>
        <v/>
      </c>
      <c r="C509" s="17"/>
      <c r="D509" s="6"/>
      <c r="E509" s="7" t="str">
        <f>IF($G509="","",INDEX('EDS Lookup'!$F$6:$F$2819,$G509))</f>
        <v/>
      </c>
      <c r="F509" s="8" t="str">
        <f>IF($G509="","",INDEX('EDS Lookup'!$G$6:$G$2819,$G509))</f>
        <v/>
      </c>
      <c r="G509" t="str">
        <f>IF(486&lt;=$B$4,IFERROR(MATCH(486,'EDS Lookup'!$H$6:$H$2819,0),""),"")</f>
        <v/>
      </c>
      <c r="H509" t="str">
        <f t="shared" si="7"/>
        <v/>
      </c>
    </row>
    <row r="510" spans="1:8" ht="19.95" customHeight="1">
      <c r="A510" s="5" t="str">
        <f>IF($G510="","",INDEX('EDS Lookup'!$D$6:$D$2819,$G510))</f>
        <v/>
      </c>
      <c r="B510" s="5" t="str">
        <f>IF($G510="","",INDEX('EDS Lookup'!$B$6:$B$2819,$G510))</f>
        <v/>
      </c>
      <c r="C510" s="17"/>
      <c r="D510" s="6"/>
      <c r="E510" s="7" t="str">
        <f>IF($G510="","",INDEX('EDS Lookup'!$F$6:$F$2819,$G510))</f>
        <v/>
      </c>
      <c r="F510" s="8" t="str">
        <f>IF($G510="","",INDEX('EDS Lookup'!$G$6:$G$2819,$G510))</f>
        <v/>
      </c>
      <c r="G510" t="str">
        <f>IF(487&lt;=$B$4,IFERROR(MATCH(487,'EDS Lookup'!$H$6:$H$2819,0),""),"")</f>
        <v/>
      </c>
      <c r="H510" t="str">
        <f t="shared" si="7"/>
        <v/>
      </c>
    </row>
    <row r="511" spans="1:8" ht="19.95" customHeight="1">
      <c r="A511" s="5" t="str">
        <f>IF($G511="","",INDEX('EDS Lookup'!$D$6:$D$2819,$G511))</f>
        <v/>
      </c>
      <c r="B511" s="5" t="str">
        <f>IF($G511="","",INDEX('EDS Lookup'!$B$6:$B$2819,$G511))</f>
        <v/>
      </c>
      <c r="C511" s="17"/>
      <c r="D511" s="6"/>
      <c r="E511" s="7" t="str">
        <f>IF($G511="","",INDEX('EDS Lookup'!$F$6:$F$2819,$G511))</f>
        <v/>
      </c>
      <c r="F511" s="8" t="str">
        <f>IF($G511="","",INDEX('EDS Lookup'!$G$6:$G$2819,$G511))</f>
        <v/>
      </c>
      <c r="G511" t="str">
        <f>IF(488&lt;=$B$4,IFERROR(MATCH(488,'EDS Lookup'!$H$6:$H$2819,0),""),"")</f>
        <v/>
      </c>
      <c r="H511" t="str">
        <f t="shared" si="7"/>
        <v/>
      </c>
    </row>
    <row r="512" spans="1:8" ht="19.95" customHeight="1">
      <c r="A512" s="5" t="str">
        <f>IF($G512="","",INDEX('EDS Lookup'!$D$6:$D$2819,$G512))</f>
        <v/>
      </c>
      <c r="B512" s="5" t="str">
        <f>IF($G512="","",INDEX('EDS Lookup'!$B$6:$B$2819,$G512))</f>
        <v/>
      </c>
      <c r="C512" s="17"/>
      <c r="D512" s="6"/>
      <c r="E512" s="7" t="str">
        <f>IF($G512="","",INDEX('EDS Lookup'!$F$6:$F$2819,$G512))</f>
        <v/>
      </c>
      <c r="F512" s="8" t="str">
        <f>IF($G512="","",INDEX('EDS Lookup'!$G$6:$G$2819,$G512))</f>
        <v/>
      </c>
      <c r="G512" t="str">
        <f>IF(489&lt;=$B$4,IFERROR(MATCH(489,'EDS Lookup'!$H$6:$H$2819,0),""),"")</f>
        <v/>
      </c>
      <c r="H512" t="str">
        <f t="shared" si="7"/>
        <v/>
      </c>
    </row>
    <row r="513" spans="1:8" ht="19.95" customHeight="1">
      <c r="A513" s="5" t="str">
        <f>IF($G513="","",INDEX('EDS Lookup'!$D$6:$D$2819,$G513))</f>
        <v/>
      </c>
      <c r="B513" s="5" t="str">
        <f>IF($G513="","",INDEX('EDS Lookup'!$B$6:$B$2819,$G513))</f>
        <v/>
      </c>
      <c r="C513" s="17"/>
      <c r="D513" s="6"/>
      <c r="E513" s="7" t="str">
        <f>IF($G513="","",INDEX('EDS Lookup'!$F$6:$F$2819,$G513))</f>
        <v/>
      </c>
      <c r="F513" s="8" t="str">
        <f>IF($G513="","",INDEX('EDS Lookup'!$G$6:$G$2819,$G513))</f>
        <v/>
      </c>
      <c r="G513" t="str">
        <f>IF(490&lt;=$B$4,IFERROR(MATCH(490,'EDS Lookup'!$H$6:$H$2819,0),""),"")</f>
        <v/>
      </c>
      <c r="H513" t="str">
        <f t="shared" si="7"/>
        <v/>
      </c>
    </row>
    <row r="514" spans="1:8" ht="19.95" customHeight="1">
      <c r="A514" s="5" t="str">
        <f>IF($G514="","",INDEX('EDS Lookup'!$D$6:$D$2819,$G514))</f>
        <v/>
      </c>
      <c r="B514" s="5" t="str">
        <f>IF($G514="","",INDEX('EDS Lookup'!$B$6:$B$2819,$G514))</f>
        <v/>
      </c>
      <c r="C514" s="17"/>
      <c r="D514" s="6"/>
      <c r="E514" s="7" t="str">
        <f>IF($G514="","",INDEX('EDS Lookup'!$F$6:$F$2819,$G514))</f>
        <v/>
      </c>
      <c r="F514" s="8" t="str">
        <f>IF($G514="","",INDEX('EDS Lookup'!$G$6:$G$2819,$G514))</f>
        <v/>
      </c>
      <c r="G514" t="str">
        <f>IF(491&lt;=$B$4,IFERROR(MATCH(491,'EDS Lookup'!$H$6:$H$2819,0),""),"")</f>
        <v/>
      </c>
      <c r="H514" t="str">
        <f t="shared" si="7"/>
        <v/>
      </c>
    </row>
    <row r="515" spans="1:8" ht="19.95" customHeight="1">
      <c r="A515" s="5" t="str">
        <f>IF($G515="","",INDEX('EDS Lookup'!$D$6:$D$2819,$G515))</f>
        <v/>
      </c>
      <c r="B515" s="5" t="str">
        <f>IF($G515="","",INDEX('EDS Lookup'!$B$6:$B$2819,$G515))</f>
        <v/>
      </c>
      <c r="C515" s="17"/>
      <c r="D515" s="6"/>
      <c r="E515" s="7" t="str">
        <f>IF($G515="","",INDEX('EDS Lookup'!$F$6:$F$2819,$G515))</f>
        <v/>
      </c>
      <c r="F515" s="8" t="str">
        <f>IF($G515="","",INDEX('EDS Lookup'!$G$6:$G$2819,$G515))</f>
        <v/>
      </c>
      <c r="G515" t="str">
        <f>IF(492&lt;=$B$4,IFERROR(MATCH(492,'EDS Lookup'!$H$6:$H$2819,0),""),"")</f>
        <v/>
      </c>
      <c r="H515" t="str">
        <f t="shared" si="7"/>
        <v/>
      </c>
    </row>
    <row r="516" spans="1:8" ht="19.95" customHeight="1">
      <c r="A516" s="5" t="str">
        <f>IF($G516="","",INDEX('EDS Lookup'!$D$6:$D$2819,$G516))</f>
        <v/>
      </c>
      <c r="B516" s="5" t="str">
        <f>IF($G516="","",INDEX('EDS Lookup'!$B$6:$B$2819,$G516))</f>
        <v/>
      </c>
      <c r="C516" s="17"/>
      <c r="D516" s="6"/>
      <c r="E516" s="7" t="str">
        <f>IF($G516="","",INDEX('EDS Lookup'!$F$6:$F$2819,$G516))</f>
        <v/>
      </c>
      <c r="F516" s="8" t="str">
        <f>IF($G516="","",INDEX('EDS Lookup'!$G$6:$G$2819,$G516))</f>
        <v/>
      </c>
      <c r="G516" t="str">
        <f>IF(493&lt;=$B$4,IFERROR(MATCH(493,'EDS Lookup'!$H$6:$H$2819,0),""),"")</f>
        <v/>
      </c>
      <c r="H516" t="str">
        <f t="shared" si="7"/>
        <v/>
      </c>
    </row>
    <row r="517" spans="1:8" ht="19.95" customHeight="1">
      <c r="A517" s="5" t="str">
        <f>IF($G517="","",INDEX('EDS Lookup'!$D$6:$D$2819,$G517))</f>
        <v/>
      </c>
      <c r="B517" s="5" t="str">
        <f>IF($G517="","",INDEX('EDS Lookup'!$B$6:$B$2819,$G517))</f>
        <v/>
      </c>
      <c r="C517" s="17"/>
      <c r="D517" s="6"/>
      <c r="E517" s="7" t="str">
        <f>IF($G517="","",INDEX('EDS Lookup'!$F$6:$F$2819,$G517))</f>
        <v/>
      </c>
      <c r="F517" s="8" t="str">
        <f>IF($G517="","",INDEX('EDS Lookup'!$G$6:$G$2819,$G517))</f>
        <v/>
      </c>
      <c r="G517" t="str">
        <f>IF(494&lt;=$B$4,IFERROR(MATCH(494,'EDS Lookup'!$H$6:$H$2819,0),""),"")</f>
        <v/>
      </c>
      <c r="H517" t="str">
        <f t="shared" si="7"/>
        <v/>
      </c>
    </row>
    <row r="518" spans="1:8" ht="19.95" customHeight="1">
      <c r="A518" s="5" t="str">
        <f>IF($G518="","",INDEX('EDS Lookup'!$D$6:$D$2819,$G518))</f>
        <v/>
      </c>
      <c r="B518" s="5" t="str">
        <f>IF($G518="","",INDEX('EDS Lookup'!$B$6:$B$2819,$G518))</f>
        <v/>
      </c>
      <c r="C518" s="17"/>
      <c r="D518" s="6"/>
      <c r="E518" s="7" t="str">
        <f>IF($G518="","",INDEX('EDS Lookup'!$F$6:$F$2819,$G518))</f>
        <v/>
      </c>
      <c r="F518" s="8" t="str">
        <f>IF($G518="","",INDEX('EDS Lookup'!$G$6:$G$2819,$G518))</f>
        <v/>
      </c>
      <c r="G518" t="str">
        <f>IF(495&lt;=$B$4,IFERROR(MATCH(495,'EDS Lookup'!$H$6:$H$2819,0),""),"")</f>
        <v/>
      </c>
      <c r="H518" t="str">
        <f t="shared" si="7"/>
        <v/>
      </c>
    </row>
    <row r="519" spans="1:8" ht="19.95" customHeight="1">
      <c r="A519" s="5" t="str">
        <f>IF($G519="","",INDEX('EDS Lookup'!$D$6:$D$2819,$G519))</f>
        <v/>
      </c>
      <c r="B519" s="5" t="str">
        <f>IF($G519="","",INDEX('EDS Lookup'!$B$6:$B$2819,$G519))</f>
        <v/>
      </c>
      <c r="C519" s="17"/>
      <c r="D519" s="6"/>
      <c r="E519" s="7" t="str">
        <f>IF($G519="","",INDEX('EDS Lookup'!$F$6:$F$2819,$G519))</f>
        <v/>
      </c>
      <c r="F519" s="8" t="str">
        <f>IF($G519="","",INDEX('EDS Lookup'!$G$6:$G$2819,$G519))</f>
        <v/>
      </c>
      <c r="G519" t="str">
        <f>IF(496&lt;=$B$4,IFERROR(MATCH(496,'EDS Lookup'!$H$6:$H$2819,0),""),"")</f>
        <v/>
      </c>
      <c r="H519" t="str">
        <f t="shared" si="7"/>
        <v/>
      </c>
    </row>
    <row r="520" spans="1:8" ht="19.95" customHeight="1">
      <c r="A520" s="5" t="str">
        <f>IF($G520="","",INDEX('EDS Lookup'!$D$6:$D$2819,$G520))</f>
        <v/>
      </c>
      <c r="B520" s="5" t="str">
        <f>IF($G520="","",INDEX('EDS Lookup'!$B$6:$B$2819,$G520))</f>
        <v/>
      </c>
      <c r="C520" s="17"/>
      <c r="D520" s="6"/>
      <c r="E520" s="7" t="str">
        <f>IF($G520="","",INDEX('EDS Lookup'!$F$6:$F$2819,$G520))</f>
        <v/>
      </c>
      <c r="F520" s="8" t="str">
        <f>IF($G520="","",INDEX('EDS Lookup'!$G$6:$G$2819,$G520))</f>
        <v/>
      </c>
      <c r="G520" t="str">
        <f>IF(497&lt;=$B$4,IFERROR(MATCH(497,'EDS Lookup'!$H$6:$H$2819,0),""),"")</f>
        <v/>
      </c>
      <c r="H520" t="str">
        <f t="shared" si="7"/>
        <v/>
      </c>
    </row>
    <row r="521" spans="1:8" ht="19.95" customHeight="1">
      <c r="A521" s="5" t="str">
        <f>IF($G521="","",INDEX('EDS Lookup'!$D$6:$D$2819,$G521))</f>
        <v/>
      </c>
      <c r="B521" s="5" t="str">
        <f>IF($G521="","",INDEX('EDS Lookup'!$B$6:$B$2819,$G521))</f>
        <v/>
      </c>
      <c r="C521" s="17"/>
      <c r="D521" s="6"/>
      <c r="E521" s="7" t="str">
        <f>IF($G521="","",INDEX('EDS Lookup'!$F$6:$F$2819,$G521))</f>
        <v/>
      </c>
      <c r="F521" s="8" t="str">
        <f>IF($G521="","",INDEX('EDS Lookup'!$G$6:$G$2819,$G521))</f>
        <v/>
      </c>
      <c r="G521" t="str">
        <f>IF(498&lt;=$B$4,IFERROR(MATCH(498,'EDS Lookup'!$H$6:$H$2819,0),""),"")</f>
        <v/>
      </c>
      <c r="H521" t="str">
        <f t="shared" si="7"/>
        <v/>
      </c>
    </row>
    <row r="522" spans="1:8" ht="19.95" customHeight="1">
      <c r="A522" s="5" t="str">
        <f>IF($G522="","",INDEX('EDS Lookup'!$D$6:$D$2819,$G522))</f>
        <v/>
      </c>
      <c r="B522" s="5" t="str">
        <f>IF($G522="","",INDEX('EDS Lookup'!$B$6:$B$2819,$G522))</f>
        <v/>
      </c>
      <c r="C522" s="17"/>
      <c r="D522" s="6"/>
      <c r="E522" s="7" t="str">
        <f>IF($G522="","",INDEX('EDS Lookup'!$F$6:$F$2819,$G522))</f>
        <v/>
      </c>
      <c r="F522" s="8" t="str">
        <f>IF($G522="","",INDEX('EDS Lookup'!$G$6:$G$2819,$G522))</f>
        <v/>
      </c>
      <c r="G522" t="str">
        <f>IF(499&lt;=$B$4,IFERROR(MATCH(499,'EDS Lookup'!$H$6:$H$2819,0),""),"")</f>
        <v/>
      </c>
      <c r="H522" t="str">
        <f t="shared" si="7"/>
        <v/>
      </c>
    </row>
    <row r="523" spans="1:8" ht="19.95" customHeight="1">
      <c r="A523" s="5" t="str">
        <f>IF($G523="","",INDEX('EDS Lookup'!$D$6:$D$2819,$G523))</f>
        <v/>
      </c>
      <c r="B523" s="5" t="str">
        <f>IF($G523="","",INDEX('EDS Lookup'!$B$6:$B$2819,$G523))</f>
        <v/>
      </c>
      <c r="C523" s="17"/>
      <c r="D523" s="6"/>
      <c r="E523" s="7" t="str">
        <f>IF($G523="","",INDEX('EDS Lookup'!$F$6:$F$2819,$G523))</f>
        <v/>
      </c>
      <c r="F523" s="8" t="str">
        <f>IF($G523="","",INDEX('EDS Lookup'!$G$6:$G$2819,$G523))</f>
        <v/>
      </c>
      <c r="G523" t="str">
        <f>IF(500&lt;=$B$4,IFERROR(MATCH(500,'EDS Lookup'!$H$6:$H$2819,0),""),"")</f>
        <v/>
      </c>
      <c r="H523" t="str">
        <f t="shared" si="7"/>
        <v/>
      </c>
    </row>
    <row r="524" spans="1:8" ht="19.95" customHeight="1">
      <c r="A524" s="5" t="str">
        <f>IF($G524="","",INDEX('EDS Lookup'!$D$6:$D$2819,$G524))</f>
        <v/>
      </c>
      <c r="B524" s="5" t="str">
        <f>IF($G524="","",INDEX('EDS Lookup'!$B$6:$B$2819,$G524))</f>
        <v/>
      </c>
      <c r="C524" s="17"/>
      <c r="D524" s="6"/>
      <c r="E524" s="7" t="str">
        <f>IF($G524="","",INDEX('EDS Lookup'!$F$6:$F$2819,$G524))</f>
        <v/>
      </c>
      <c r="F524" s="8" t="str">
        <f>IF($G524="","",INDEX('EDS Lookup'!$G$6:$G$2819,$G524))</f>
        <v/>
      </c>
      <c r="G524" t="str">
        <f>IF(501&lt;=$B$4,IFERROR(MATCH(501,'EDS Lookup'!$H$6:$H$2819,0),""),"")</f>
        <v/>
      </c>
      <c r="H524" t="str">
        <f t="shared" si="7"/>
        <v/>
      </c>
    </row>
    <row r="525" spans="1:8" ht="19.95" customHeight="1">
      <c r="A525" s="5" t="str">
        <f>IF($G525="","",INDEX('EDS Lookup'!$D$6:$D$2819,$G525))</f>
        <v/>
      </c>
      <c r="B525" s="5" t="str">
        <f>IF($G525="","",INDEX('EDS Lookup'!$B$6:$B$2819,$G525))</f>
        <v/>
      </c>
      <c r="C525" s="17"/>
      <c r="D525" s="6"/>
      <c r="E525" s="7" t="str">
        <f>IF($G525="","",INDEX('EDS Lookup'!$F$6:$F$2819,$G525))</f>
        <v/>
      </c>
      <c r="F525" s="8" t="str">
        <f>IF($G525="","",INDEX('EDS Lookup'!$G$6:$G$2819,$G525))</f>
        <v/>
      </c>
      <c r="G525" t="str">
        <f>IF(502&lt;=$B$4,IFERROR(MATCH(502,'EDS Lookup'!$H$6:$H$2819,0),""),"")</f>
        <v/>
      </c>
      <c r="H525" t="str">
        <f t="shared" si="7"/>
        <v/>
      </c>
    </row>
    <row r="526" spans="1:8" ht="19.95" customHeight="1">
      <c r="A526" s="5" t="str">
        <f>IF($G526="","",INDEX('EDS Lookup'!$D$6:$D$2819,$G526))</f>
        <v/>
      </c>
      <c r="B526" s="5" t="str">
        <f>IF($G526="","",INDEX('EDS Lookup'!$B$6:$B$2819,$G526))</f>
        <v/>
      </c>
      <c r="C526" s="17"/>
      <c r="D526" s="6"/>
      <c r="E526" s="7" t="str">
        <f>IF($G526="","",INDEX('EDS Lookup'!$F$6:$F$2819,$G526))</f>
        <v/>
      </c>
      <c r="F526" s="8" t="str">
        <f>IF($G526="","",INDEX('EDS Lookup'!$G$6:$G$2819,$G526))</f>
        <v/>
      </c>
      <c r="G526" t="str">
        <f>IF(503&lt;=$B$4,IFERROR(MATCH(503,'EDS Lookup'!$H$6:$H$2819,0),""),"")</f>
        <v/>
      </c>
      <c r="H526" t="str">
        <f t="shared" si="7"/>
        <v/>
      </c>
    </row>
    <row r="527" spans="1:8" ht="19.95" customHeight="1">
      <c r="A527" s="5" t="str">
        <f>IF($G527="","",INDEX('EDS Lookup'!$D$6:$D$2819,$G527))</f>
        <v/>
      </c>
      <c r="B527" s="5" t="str">
        <f>IF($G527="","",INDEX('EDS Lookup'!$B$6:$B$2819,$G527))</f>
        <v/>
      </c>
      <c r="C527" s="17"/>
      <c r="D527" s="6"/>
      <c r="E527" s="7" t="str">
        <f>IF($G527="","",INDEX('EDS Lookup'!$F$6:$F$2819,$G527))</f>
        <v/>
      </c>
      <c r="F527" s="8" t="str">
        <f>IF($G527="","",INDEX('EDS Lookup'!$G$6:$G$2819,$G527))</f>
        <v/>
      </c>
      <c r="G527" t="str">
        <f>IF(504&lt;=$B$4,IFERROR(MATCH(504,'EDS Lookup'!$H$6:$H$2819,0),""),"")</f>
        <v/>
      </c>
      <c r="H527" t="str">
        <f t="shared" si="7"/>
        <v/>
      </c>
    </row>
    <row r="528" spans="1:8" ht="19.95" customHeight="1">
      <c r="A528" s="5" t="str">
        <f>IF($G528="","",INDEX('EDS Lookup'!$D$6:$D$2819,$G528))</f>
        <v/>
      </c>
      <c r="B528" s="5" t="str">
        <f>IF($G528="","",INDEX('EDS Lookup'!$B$6:$B$2819,$G528))</f>
        <v/>
      </c>
      <c r="C528" s="17"/>
      <c r="D528" s="6"/>
      <c r="E528" s="7" t="str">
        <f>IF($G528="","",INDEX('EDS Lookup'!$F$6:$F$2819,$G528))</f>
        <v/>
      </c>
      <c r="F528" s="8" t="str">
        <f>IF($G528="","",INDEX('EDS Lookup'!$G$6:$G$2819,$G528))</f>
        <v/>
      </c>
      <c r="G528" t="str">
        <f>IF(505&lt;=$B$4,IFERROR(MATCH(505,'EDS Lookup'!$H$6:$H$2819,0),""),"")</f>
        <v/>
      </c>
      <c r="H528" t="str">
        <f t="shared" si="7"/>
        <v/>
      </c>
    </row>
    <row r="529" spans="1:8" ht="19.95" customHeight="1">
      <c r="A529" s="5" t="str">
        <f>IF($G529="","",INDEX('EDS Lookup'!$D$6:$D$2819,$G529))</f>
        <v/>
      </c>
      <c r="B529" s="5" t="str">
        <f>IF($G529="","",INDEX('EDS Lookup'!$B$6:$B$2819,$G529))</f>
        <v/>
      </c>
      <c r="C529" s="17"/>
      <c r="D529" s="6"/>
      <c r="E529" s="7" t="str">
        <f>IF($G529="","",INDEX('EDS Lookup'!$F$6:$F$2819,$G529))</f>
        <v/>
      </c>
      <c r="F529" s="8" t="str">
        <f>IF($G529="","",INDEX('EDS Lookup'!$G$6:$G$2819,$G529))</f>
        <v/>
      </c>
      <c r="G529" t="str">
        <f>IF(506&lt;=$B$4,IFERROR(MATCH(506,'EDS Lookup'!$H$6:$H$2819,0),""),"")</f>
        <v/>
      </c>
      <c r="H529" t="str">
        <f t="shared" si="7"/>
        <v/>
      </c>
    </row>
    <row r="530" spans="1:8" ht="19.95" customHeight="1">
      <c r="A530" s="5" t="str">
        <f>IF($G530="","",INDEX('EDS Lookup'!$D$6:$D$2819,$G530))</f>
        <v/>
      </c>
      <c r="B530" s="5" t="str">
        <f>IF($G530="","",INDEX('EDS Lookup'!$B$6:$B$2819,$G530))</f>
        <v/>
      </c>
      <c r="C530" s="17"/>
      <c r="D530" s="6"/>
      <c r="E530" s="7" t="str">
        <f>IF($G530="","",INDEX('EDS Lookup'!$F$6:$F$2819,$G530))</f>
        <v/>
      </c>
      <c r="F530" s="8" t="str">
        <f>IF($G530="","",INDEX('EDS Lookup'!$G$6:$G$2819,$G530))</f>
        <v/>
      </c>
      <c r="G530" t="str">
        <f>IF(507&lt;=$B$4,IFERROR(MATCH(507,'EDS Lookup'!$H$6:$H$2819,0),""),"")</f>
        <v/>
      </c>
      <c r="H530" t="str">
        <f t="shared" si="7"/>
        <v/>
      </c>
    </row>
    <row r="531" spans="1:8" ht="19.95" customHeight="1">
      <c r="A531" s="5" t="str">
        <f>IF($G531="","",INDEX('EDS Lookup'!$D$6:$D$2819,$G531))</f>
        <v/>
      </c>
      <c r="B531" s="5" t="str">
        <f>IF($G531="","",INDEX('EDS Lookup'!$B$6:$B$2819,$G531))</f>
        <v/>
      </c>
      <c r="C531" s="17"/>
      <c r="D531" s="6"/>
      <c r="E531" s="7" t="str">
        <f>IF($G531="","",INDEX('EDS Lookup'!$F$6:$F$2819,$G531))</f>
        <v/>
      </c>
      <c r="F531" s="8" t="str">
        <f>IF($G531="","",INDEX('EDS Lookup'!$G$6:$G$2819,$G531))</f>
        <v/>
      </c>
      <c r="G531" t="str">
        <f>IF(508&lt;=$B$4,IFERROR(MATCH(508,'EDS Lookup'!$H$6:$H$2819,0),""),"")</f>
        <v/>
      </c>
      <c r="H531" t="str">
        <f t="shared" si="7"/>
        <v/>
      </c>
    </row>
    <row r="532" spans="1:8" ht="19.95" customHeight="1">
      <c r="A532" s="5" t="str">
        <f>IF($G532="","",INDEX('EDS Lookup'!$D$6:$D$2819,$G532))</f>
        <v/>
      </c>
      <c r="B532" s="5" t="str">
        <f>IF($G532="","",INDEX('EDS Lookup'!$B$6:$B$2819,$G532))</f>
        <v/>
      </c>
      <c r="C532" s="17"/>
      <c r="D532" s="6"/>
      <c r="E532" s="7" t="str">
        <f>IF($G532="","",INDEX('EDS Lookup'!$F$6:$F$2819,$G532))</f>
        <v/>
      </c>
      <c r="F532" s="8" t="str">
        <f>IF($G532="","",INDEX('EDS Lookup'!$G$6:$G$2819,$G532))</f>
        <v/>
      </c>
      <c r="G532" t="str">
        <f>IF(509&lt;=$B$4,IFERROR(MATCH(509,'EDS Lookup'!$H$6:$H$2819,0),""),"")</f>
        <v/>
      </c>
      <c r="H532" t="str">
        <f t="shared" si="7"/>
        <v/>
      </c>
    </row>
    <row r="533" spans="1:8" ht="19.95" customHeight="1">
      <c r="A533" s="5" t="str">
        <f>IF($G533="","",INDEX('EDS Lookup'!$D$6:$D$2819,$G533))</f>
        <v/>
      </c>
      <c r="B533" s="5" t="str">
        <f>IF($G533="","",INDEX('EDS Lookup'!$B$6:$B$2819,$G533))</f>
        <v/>
      </c>
      <c r="C533" s="17"/>
      <c r="D533" s="6"/>
      <c r="E533" s="7" t="str">
        <f>IF($G533="","",INDEX('EDS Lookup'!$F$6:$F$2819,$G533))</f>
        <v/>
      </c>
      <c r="F533" s="8" t="str">
        <f>IF($G533="","",INDEX('EDS Lookup'!$G$6:$G$2819,$G533))</f>
        <v/>
      </c>
      <c r="G533" t="str">
        <f>IF(510&lt;=$B$4,IFERROR(MATCH(510,'EDS Lookup'!$H$6:$H$2819,0),""),"")</f>
        <v/>
      </c>
      <c r="H533" t="str">
        <f t="shared" si="7"/>
        <v/>
      </c>
    </row>
    <row r="534" spans="1:8" ht="19.95" customHeight="1">
      <c r="A534" s="5" t="str">
        <f>IF($G534="","",INDEX('EDS Lookup'!$D$6:$D$2819,$G534))</f>
        <v/>
      </c>
      <c r="B534" s="5" t="str">
        <f>IF($G534="","",INDEX('EDS Lookup'!$B$6:$B$2819,$G534))</f>
        <v/>
      </c>
      <c r="C534" s="17"/>
      <c r="D534" s="6"/>
      <c r="E534" s="7" t="str">
        <f>IF($G534="","",INDEX('EDS Lookup'!$F$6:$F$2819,$G534))</f>
        <v/>
      </c>
      <c r="F534" s="8" t="str">
        <f>IF($G534="","",INDEX('EDS Lookup'!$G$6:$G$2819,$G534))</f>
        <v/>
      </c>
      <c r="G534" t="str">
        <f>IF(511&lt;=$B$4,IFERROR(MATCH(511,'EDS Lookup'!$H$6:$H$2819,0),""),"")</f>
        <v/>
      </c>
      <c r="H534" t="str">
        <f t="shared" si="7"/>
        <v/>
      </c>
    </row>
    <row r="535" spans="1:8" ht="19.95" customHeight="1">
      <c r="A535" s="5" t="str">
        <f>IF($G535="","",INDEX('EDS Lookup'!$D$6:$D$2819,$G535))</f>
        <v/>
      </c>
      <c r="B535" s="5" t="str">
        <f>IF($G535="","",INDEX('EDS Lookup'!$B$6:$B$2819,$G535))</f>
        <v/>
      </c>
      <c r="C535" s="17"/>
      <c r="D535" s="6"/>
      <c r="E535" s="7" t="str">
        <f>IF($G535="","",INDEX('EDS Lookup'!$F$6:$F$2819,$G535))</f>
        <v/>
      </c>
      <c r="F535" s="8" t="str">
        <f>IF($G535="","",INDEX('EDS Lookup'!$G$6:$G$2819,$G535))</f>
        <v/>
      </c>
      <c r="G535" t="str">
        <f>IF(512&lt;=$B$4,IFERROR(MATCH(512,'EDS Lookup'!$H$6:$H$2819,0),""),"")</f>
        <v/>
      </c>
      <c r="H535" t="str">
        <f t="shared" si="7"/>
        <v/>
      </c>
    </row>
    <row r="536" spans="1:8" ht="19.95" customHeight="1">
      <c r="A536" s="5" t="str">
        <f>IF($G536="","",INDEX('EDS Lookup'!$D$6:$D$2819,$G536))</f>
        <v/>
      </c>
      <c r="B536" s="5" t="str">
        <f>IF($G536="","",INDEX('EDS Lookup'!$B$6:$B$2819,$G536))</f>
        <v/>
      </c>
      <c r="C536" s="17"/>
      <c r="D536" s="6"/>
      <c r="E536" s="7" t="str">
        <f>IF($G536="","",INDEX('EDS Lookup'!$F$6:$F$2819,$G536))</f>
        <v/>
      </c>
      <c r="F536" s="8" t="str">
        <f>IF($G536="","",INDEX('EDS Lookup'!$G$6:$G$2819,$G536))</f>
        <v/>
      </c>
      <c r="G536" t="str">
        <f>IF(513&lt;=$B$4,IFERROR(MATCH(513,'EDS Lookup'!$H$6:$H$2819,0),""),"")</f>
        <v/>
      </c>
      <c r="H536" t="str">
        <f t="shared" ref="H536:H599" si="8">IF(F536="&lt;5",5,IF(F536="&gt;95",95,IF(ISNUMBER(F536),F536,"")))</f>
        <v/>
      </c>
    </row>
    <row r="537" spans="1:8" ht="19.95" customHeight="1">
      <c r="A537" s="5" t="str">
        <f>IF($G537="","",INDEX('EDS Lookup'!$D$6:$D$2819,$G537))</f>
        <v/>
      </c>
      <c r="B537" s="5" t="str">
        <f>IF($G537="","",INDEX('EDS Lookup'!$B$6:$B$2819,$G537))</f>
        <v/>
      </c>
      <c r="C537" s="17"/>
      <c r="D537" s="6"/>
      <c r="E537" s="7" t="str">
        <f>IF($G537="","",INDEX('EDS Lookup'!$F$6:$F$2819,$G537))</f>
        <v/>
      </c>
      <c r="F537" s="8" t="str">
        <f>IF($G537="","",INDEX('EDS Lookup'!$G$6:$G$2819,$G537))</f>
        <v/>
      </c>
      <c r="G537" t="str">
        <f>IF(514&lt;=$B$4,IFERROR(MATCH(514,'EDS Lookup'!$H$6:$H$2819,0),""),"")</f>
        <v/>
      </c>
      <c r="H537" t="str">
        <f t="shared" si="8"/>
        <v/>
      </c>
    </row>
    <row r="538" spans="1:8" ht="19.95" customHeight="1">
      <c r="A538" s="5" t="str">
        <f>IF($G538="","",INDEX('EDS Lookup'!$D$6:$D$2819,$G538))</f>
        <v/>
      </c>
      <c r="B538" s="5" t="str">
        <f>IF($G538="","",INDEX('EDS Lookup'!$B$6:$B$2819,$G538))</f>
        <v/>
      </c>
      <c r="C538" s="17"/>
      <c r="D538" s="6"/>
      <c r="E538" s="7" t="str">
        <f>IF($G538="","",INDEX('EDS Lookup'!$F$6:$F$2819,$G538))</f>
        <v/>
      </c>
      <c r="F538" s="8" t="str">
        <f>IF($G538="","",INDEX('EDS Lookup'!$G$6:$G$2819,$G538))</f>
        <v/>
      </c>
      <c r="G538" t="str">
        <f>IF(515&lt;=$B$4,IFERROR(MATCH(515,'EDS Lookup'!$H$6:$H$2819,0),""),"")</f>
        <v/>
      </c>
      <c r="H538" t="str">
        <f t="shared" si="8"/>
        <v/>
      </c>
    </row>
    <row r="539" spans="1:8" ht="19.95" customHeight="1">
      <c r="A539" s="5" t="str">
        <f>IF($G539="","",INDEX('EDS Lookup'!$D$6:$D$2819,$G539))</f>
        <v/>
      </c>
      <c r="B539" s="5" t="str">
        <f>IF($G539="","",INDEX('EDS Lookup'!$B$6:$B$2819,$G539))</f>
        <v/>
      </c>
      <c r="C539" s="17"/>
      <c r="D539" s="6"/>
      <c r="E539" s="7" t="str">
        <f>IF($G539="","",INDEX('EDS Lookup'!$F$6:$F$2819,$G539))</f>
        <v/>
      </c>
      <c r="F539" s="8" t="str">
        <f>IF($G539="","",INDEX('EDS Lookup'!$G$6:$G$2819,$G539))</f>
        <v/>
      </c>
      <c r="G539" t="str">
        <f>IF(516&lt;=$B$4,IFERROR(MATCH(516,'EDS Lookup'!$H$6:$H$2819,0),""),"")</f>
        <v/>
      </c>
      <c r="H539" t="str">
        <f t="shared" si="8"/>
        <v/>
      </c>
    </row>
    <row r="540" spans="1:8" ht="19.95" customHeight="1">
      <c r="A540" s="5" t="str">
        <f>IF($G540="","",INDEX('EDS Lookup'!$D$6:$D$2819,$G540))</f>
        <v/>
      </c>
      <c r="B540" s="5" t="str">
        <f>IF($G540="","",INDEX('EDS Lookup'!$B$6:$B$2819,$G540))</f>
        <v/>
      </c>
      <c r="C540" s="17"/>
      <c r="D540" s="6"/>
      <c r="E540" s="7" t="str">
        <f>IF($G540="","",INDEX('EDS Lookup'!$F$6:$F$2819,$G540))</f>
        <v/>
      </c>
      <c r="F540" s="8" t="str">
        <f>IF($G540="","",INDEX('EDS Lookup'!$G$6:$G$2819,$G540))</f>
        <v/>
      </c>
      <c r="G540" t="str">
        <f>IF(517&lt;=$B$4,IFERROR(MATCH(517,'EDS Lookup'!$H$6:$H$2819,0),""),"")</f>
        <v/>
      </c>
      <c r="H540" t="str">
        <f t="shared" si="8"/>
        <v/>
      </c>
    </row>
    <row r="541" spans="1:8" ht="19.95" customHeight="1">
      <c r="A541" s="5" t="str">
        <f>IF($G541="","",INDEX('EDS Lookup'!$D$6:$D$2819,$G541))</f>
        <v/>
      </c>
      <c r="B541" s="5" t="str">
        <f>IF($G541="","",INDEX('EDS Lookup'!$B$6:$B$2819,$G541))</f>
        <v/>
      </c>
      <c r="C541" s="17"/>
      <c r="D541" s="6"/>
      <c r="E541" s="7" t="str">
        <f>IF($G541="","",INDEX('EDS Lookup'!$F$6:$F$2819,$G541))</f>
        <v/>
      </c>
      <c r="F541" s="8" t="str">
        <f>IF($G541="","",INDEX('EDS Lookup'!$G$6:$G$2819,$G541))</f>
        <v/>
      </c>
      <c r="G541" t="str">
        <f>IF(518&lt;=$B$4,IFERROR(MATCH(518,'EDS Lookup'!$H$6:$H$2819,0),""),"")</f>
        <v/>
      </c>
      <c r="H541" t="str">
        <f t="shared" si="8"/>
        <v/>
      </c>
    </row>
    <row r="542" spans="1:8" ht="19.95" customHeight="1">
      <c r="A542" s="5" t="str">
        <f>IF($G542="","",INDEX('EDS Lookup'!$D$6:$D$2819,$G542))</f>
        <v/>
      </c>
      <c r="B542" s="5" t="str">
        <f>IF($G542="","",INDEX('EDS Lookup'!$B$6:$B$2819,$G542))</f>
        <v/>
      </c>
      <c r="C542" s="17"/>
      <c r="D542" s="6"/>
      <c r="E542" s="7" t="str">
        <f>IF($G542="","",INDEX('EDS Lookup'!$F$6:$F$2819,$G542))</f>
        <v/>
      </c>
      <c r="F542" s="8" t="str">
        <f>IF($G542="","",INDEX('EDS Lookup'!$G$6:$G$2819,$G542))</f>
        <v/>
      </c>
      <c r="G542" t="str">
        <f>IF(519&lt;=$B$4,IFERROR(MATCH(519,'EDS Lookup'!$H$6:$H$2819,0),""),"")</f>
        <v/>
      </c>
      <c r="H542" t="str">
        <f t="shared" si="8"/>
        <v/>
      </c>
    </row>
    <row r="543" spans="1:8" ht="19.95" customHeight="1">
      <c r="A543" s="5" t="str">
        <f>IF($G543="","",INDEX('EDS Lookup'!$D$6:$D$2819,$G543))</f>
        <v/>
      </c>
      <c r="B543" s="5" t="str">
        <f>IF($G543="","",INDEX('EDS Lookup'!$B$6:$B$2819,$G543))</f>
        <v/>
      </c>
      <c r="C543" s="17"/>
      <c r="D543" s="6"/>
      <c r="E543" s="7" t="str">
        <f>IF($G543="","",INDEX('EDS Lookup'!$F$6:$F$2819,$G543))</f>
        <v/>
      </c>
      <c r="F543" s="8" t="str">
        <f>IF($G543="","",INDEX('EDS Lookup'!$G$6:$G$2819,$G543))</f>
        <v/>
      </c>
      <c r="G543" t="str">
        <f>IF(520&lt;=$B$4,IFERROR(MATCH(520,'EDS Lookup'!$H$6:$H$2819,0),""),"")</f>
        <v/>
      </c>
      <c r="H543" t="str">
        <f t="shared" si="8"/>
        <v/>
      </c>
    </row>
    <row r="544" spans="1:8" ht="19.95" customHeight="1">
      <c r="A544" s="5" t="str">
        <f>IF($G544="","",INDEX('EDS Lookup'!$D$6:$D$2819,$G544))</f>
        <v/>
      </c>
      <c r="B544" s="5" t="str">
        <f>IF($G544="","",INDEX('EDS Lookup'!$B$6:$B$2819,$G544))</f>
        <v/>
      </c>
      <c r="C544" s="17"/>
      <c r="D544" s="6"/>
      <c r="E544" s="7" t="str">
        <f>IF($G544="","",INDEX('EDS Lookup'!$F$6:$F$2819,$G544))</f>
        <v/>
      </c>
      <c r="F544" s="8" t="str">
        <f>IF($G544="","",INDEX('EDS Lookup'!$G$6:$G$2819,$G544))</f>
        <v/>
      </c>
      <c r="G544" t="str">
        <f>IF(521&lt;=$B$4,IFERROR(MATCH(521,'EDS Lookup'!$H$6:$H$2819,0),""),"")</f>
        <v/>
      </c>
      <c r="H544" t="str">
        <f t="shared" si="8"/>
        <v/>
      </c>
    </row>
    <row r="545" spans="1:8" ht="19.95" customHeight="1">
      <c r="A545" s="5" t="str">
        <f>IF($G545="","",INDEX('EDS Lookup'!$D$6:$D$2819,$G545))</f>
        <v/>
      </c>
      <c r="B545" s="5" t="str">
        <f>IF($G545="","",INDEX('EDS Lookup'!$B$6:$B$2819,$G545))</f>
        <v/>
      </c>
      <c r="C545" s="17"/>
      <c r="D545" s="6"/>
      <c r="E545" s="7" t="str">
        <f>IF($G545="","",INDEX('EDS Lookup'!$F$6:$F$2819,$G545))</f>
        <v/>
      </c>
      <c r="F545" s="8" t="str">
        <f>IF($G545="","",INDEX('EDS Lookup'!$G$6:$G$2819,$G545))</f>
        <v/>
      </c>
      <c r="G545" t="str">
        <f>IF(522&lt;=$B$4,IFERROR(MATCH(522,'EDS Lookup'!$H$6:$H$2819,0),""),"")</f>
        <v/>
      </c>
      <c r="H545" t="str">
        <f t="shared" si="8"/>
        <v/>
      </c>
    </row>
    <row r="546" spans="1:8" ht="19.95" customHeight="1">
      <c r="A546" s="5" t="str">
        <f>IF($G546="","",INDEX('EDS Lookup'!$D$6:$D$2819,$G546))</f>
        <v/>
      </c>
      <c r="B546" s="5" t="str">
        <f>IF($G546="","",INDEX('EDS Lookup'!$B$6:$B$2819,$G546))</f>
        <v/>
      </c>
      <c r="C546" s="17"/>
      <c r="D546" s="6"/>
      <c r="E546" s="7" t="str">
        <f>IF($G546="","",INDEX('EDS Lookup'!$F$6:$F$2819,$G546))</f>
        <v/>
      </c>
      <c r="F546" s="8" t="str">
        <f>IF($G546="","",INDEX('EDS Lookup'!$G$6:$G$2819,$G546))</f>
        <v/>
      </c>
      <c r="G546" t="str">
        <f>IF(523&lt;=$B$4,IFERROR(MATCH(523,'EDS Lookup'!$H$6:$H$2819,0),""),"")</f>
        <v/>
      </c>
      <c r="H546" t="str">
        <f t="shared" si="8"/>
        <v/>
      </c>
    </row>
    <row r="547" spans="1:8" ht="19.95" customHeight="1">
      <c r="A547" s="5" t="str">
        <f>IF($G547="","",INDEX('EDS Lookup'!$D$6:$D$2819,$G547))</f>
        <v/>
      </c>
      <c r="B547" s="5" t="str">
        <f>IF($G547="","",INDEX('EDS Lookup'!$B$6:$B$2819,$G547))</f>
        <v/>
      </c>
      <c r="C547" s="17"/>
      <c r="D547" s="6"/>
      <c r="E547" s="7" t="str">
        <f>IF($G547="","",INDEX('EDS Lookup'!$F$6:$F$2819,$G547))</f>
        <v/>
      </c>
      <c r="F547" s="8" t="str">
        <f>IF($G547="","",INDEX('EDS Lookup'!$G$6:$G$2819,$G547))</f>
        <v/>
      </c>
      <c r="G547" t="str">
        <f>IF(524&lt;=$B$4,IFERROR(MATCH(524,'EDS Lookup'!$H$6:$H$2819,0),""),"")</f>
        <v/>
      </c>
      <c r="H547" t="str">
        <f t="shared" si="8"/>
        <v/>
      </c>
    </row>
    <row r="548" spans="1:8" ht="19.95" customHeight="1">
      <c r="A548" s="5" t="str">
        <f>IF($G548="","",INDEX('EDS Lookup'!$D$6:$D$2819,$G548))</f>
        <v/>
      </c>
      <c r="B548" s="5" t="str">
        <f>IF($G548="","",INDEX('EDS Lookup'!$B$6:$B$2819,$G548))</f>
        <v/>
      </c>
      <c r="C548" s="17"/>
      <c r="D548" s="6"/>
      <c r="E548" s="7" t="str">
        <f>IF($G548="","",INDEX('EDS Lookup'!$F$6:$F$2819,$G548))</f>
        <v/>
      </c>
      <c r="F548" s="8" t="str">
        <f>IF($G548="","",INDEX('EDS Lookup'!$G$6:$G$2819,$G548))</f>
        <v/>
      </c>
      <c r="G548" t="str">
        <f>IF(525&lt;=$B$4,IFERROR(MATCH(525,'EDS Lookup'!$H$6:$H$2819,0),""),"")</f>
        <v/>
      </c>
      <c r="H548" t="str">
        <f t="shared" si="8"/>
        <v/>
      </c>
    </row>
    <row r="549" spans="1:8" ht="19.95" customHeight="1">
      <c r="A549" s="5" t="str">
        <f>IF($G549="","",INDEX('EDS Lookup'!$D$6:$D$2819,$G549))</f>
        <v/>
      </c>
      <c r="B549" s="5" t="str">
        <f>IF($G549="","",INDEX('EDS Lookup'!$B$6:$B$2819,$G549))</f>
        <v/>
      </c>
      <c r="C549" s="17"/>
      <c r="D549" s="6"/>
      <c r="E549" s="7" t="str">
        <f>IF($G549="","",INDEX('EDS Lookup'!$F$6:$F$2819,$G549))</f>
        <v/>
      </c>
      <c r="F549" s="8" t="str">
        <f>IF($G549="","",INDEX('EDS Lookup'!$G$6:$G$2819,$G549))</f>
        <v/>
      </c>
      <c r="G549" t="str">
        <f>IF(526&lt;=$B$4,IFERROR(MATCH(526,'EDS Lookup'!$H$6:$H$2819,0),""),"")</f>
        <v/>
      </c>
      <c r="H549" t="str">
        <f t="shared" si="8"/>
        <v/>
      </c>
    </row>
    <row r="550" spans="1:8" ht="19.95" customHeight="1">
      <c r="A550" s="5" t="str">
        <f>IF($G550="","",INDEX('EDS Lookup'!$D$6:$D$2819,$G550))</f>
        <v/>
      </c>
      <c r="B550" s="5" t="str">
        <f>IF($G550="","",INDEX('EDS Lookup'!$B$6:$B$2819,$G550))</f>
        <v/>
      </c>
      <c r="C550" s="17"/>
      <c r="D550" s="6"/>
      <c r="E550" s="7" t="str">
        <f>IF($G550="","",INDEX('EDS Lookup'!$F$6:$F$2819,$G550))</f>
        <v/>
      </c>
      <c r="F550" s="8" t="str">
        <f>IF($G550="","",INDEX('EDS Lookup'!$G$6:$G$2819,$G550))</f>
        <v/>
      </c>
      <c r="G550" t="str">
        <f>IF(527&lt;=$B$4,IFERROR(MATCH(527,'EDS Lookup'!$H$6:$H$2819,0),""),"")</f>
        <v/>
      </c>
      <c r="H550" t="str">
        <f t="shared" si="8"/>
        <v/>
      </c>
    </row>
    <row r="551" spans="1:8" ht="19.95" customHeight="1">
      <c r="A551" s="5" t="str">
        <f>IF($G551="","",INDEX('EDS Lookup'!$D$6:$D$2819,$G551))</f>
        <v/>
      </c>
      <c r="B551" s="5" t="str">
        <f>IF($G551="","",INDEX('EDS Lookup'!$B$6:$B$2819,$G551))</f>
        <v/>
      </c>
      <c r="C551" s="17"/>
      <c r="D551" s="6"/>
      <c r="E551" s="7" t="str">
        <f>IF($G551="","",INDEX('EDS Lookup'!$F$6:$F$2819,$G551))</f>
        <v/>
      </c>
      <c r="F551" s="8" t="str">
        <f>IF($G551="","",INDEX('EDS Lookup'!$G$6:$G$2819,$G551))</f>
        <v/>
      </c>
      <c r="G551" t="str">
        <f>IF(528&lt;=$B$4,IFERROR(MATCH(528,'EDS Lookup'!$H$6:$H$2819,0),""),"")</f>
        <v/>
      </c>
      <c r="H551" t="str">
        <f t="shared" si="8"/>
        <v/>
      </c>
    </row>
    <row r="552" spans="1:8" ht="19.95" customHeight="1">
      <c r="A552" s="5" t="str">
        <f>IF($G552="","",INDEX('EDS Lookup'!$D$6:$D$2819,$G552))</f>
        <v/>
      </c>
      <c r="B552" s="5" t="str">
        <f>IF($G552="","",INDEX('EDS Lookup'!$B$6:$B$2819,$G552))</f>
        <v/>
      </c>
      <c r="C552" s="17"/>
      <c r="D552" s="6"/>
      <c r="E552" s="7" t="str">
        <f>IF($G552="","",INDEX('EDS Lookup'!$F$6:$F$2819,$G552))</f>
        <v/>
      </c>
      <c r="F552" s="8" t="str">
        <f>IF($G552="","",INDEX('EDS Lookup'!$G$6:$G$2819,$G552))</f>
        <v/>
      </c>
      <c r="G552" t="str">
        <f>IF(529&lt;=$B$4,IFERROR(MATCH(529,'EDS Lookup'!$H$6:$H$2819,0),""),"")</f>
        <v/>
      </c>
      <c r="H552" t="str">
        <f t="shared" si="8"/>
        <v/>
      </c>
    </row>
    <row r="553" spans="1:8" ht="19.95" customHeight="1">
      <c r="A553" s="5" t="str">
        <f>IF($G553="","",INDEX('EDS Lookup'!$D$6:$D$2819,$G553))</f>
        <v/>
      </c>
      <c r="B553" s="5" t="str">
        <f>IF($G553="","",INDEX('EDS Lookup'!$B$6:$B$2819,$G553))</f>
        <v/>
      </c>
      <c r="C553" s="17"/>
      <c r="D553" s="6"/>
      <c r="E553" s="7" t="str">
        <f>IF($G553="","",INDEX('EDS Lookup'!$F$6:$F$2819,$G553))</f>
        <v/>
      </c>
      <c r="F553" s="8" t="str">
        <f>IF($G553="","",INDEX('EDS Lookup'!$G$6:$G$2819,$G553))</f>
        <v/>
      </c>
      <c r="G553" t="str">
        <f>IF(530&lt;=$B$4,IFERROR(MATCH(530,'EDS Lookup'!$H$6:$H$2819,0),""),"")</f>
        <v/>
      </c>
      <c r="H553" t="str">
        <f t="shared" si="8"/>
        <v/>
      </c>
    </row>
    <row r="554" spans="1:8" ht="19.95" customHeight="1">
      <c r="A554" s="5" t="str">
        <f>IF($G554="","",INDEX('EDS Lookup'!$D$6:$D$2819,$G554))</f>
        <v/>
      </c>
      <c r="B554" s="5" t="str">
        <f>IF($G554="","",INDEX('EDS Lookup'!$B$6:$B$2819,$G554))</f>
        <v/>
      </c>
      <c r="C554" s="17"/>
      <c r="D554" s="6"/>
      <c r="E554" s="7" t="str">
        <f>IF($G554="","",INDEX('EDS Lookup'!$F$6:$F$2819,$G554))</f>
        <v/>
      </c>
      <c r="F554" s="8" t="str">
        <f>IF($G554="","",INDEX('EDS Lookup'!$G$6:$G$2819,$G554))</f>
        <v/>
      </c>
      <c r="G554" t="str">
        <f>IF(531&lt;=$B$4,IFERROR(MATCH(531,'EDS Lookup'!$H$6:$H$2819,0),""),"")</f>
        <v/>
      </c>
      <c r="H554" t="str">
        <f t="shared" si="8"/>
        <v/>
      </c>
    </row>
    <row r="555" spans="1:8" ht="19.95" customHeight="1">
      <c r="A555" s="5" t="str">
        <f>IF($G555="","",INDEX('EDS Lookup'!$D$6:$D$2819,$G555))</f>
        <v/>
      </c>
      <c r="B555" s="5" t="str">
        <f>IF($G555="","",INDEX('EDS Lookup'!$B$6:$B$2819,$G555))</f>
        <v/>
      </c>
      <c r="C555" s="17"/>
      <c r="D555" s="6"/>
      <c r="E555" s="7" t="str">
        <f>IF($G555="","",INDEX('EDS Lookup'!$F$6:$F$2819,$G555))</f>
        <v/>
      </c>
      <c r="F555" s="8" t="str">
        <f>IF($G555="","",INDEX('EDS Lookup'!$G$6:$G$2819,$G555))</f>
        <v/>
      </c>
      <c r="G555" t="str">
        <f>IF(532&lt;=$B$4,IFERROR(MATCH(532,'EDS Lookup'!$H$6:$H$2819,0),""),"")</f>
        <v/>
      </c>
      <c r="H555" t="str">
        <f t="shared" si="8"/>
        <v/>
      </c>
    </row>
    <row r="556" spans="1:8" ht="19.95" customHeight="1">
      <c r="A556" s="5" t="str">
        <f>IF($G556="","",INDEX('EDS Lookup'!$D$6:$D$2819,$G556))</f>
        <v/>
      </c>
      <c r="B556" s="5" t="str">
        <f>IF($G556="","",INDEX('EDS Lookup'!$B$6:$B$2819,$G556))</f>
        <v/>
      </c>
      <c r="C556" s="17"/>
      <c r="D556" s="6"/>
      <c r="E556" s="7" t="str">
        <f>IF($G556="","",INDEX('EDS Lookup'!$F$6:$F$2819,$G556))</f>
        <v/>
      </c>
      <c r="F556" s="8" t="str">
        <f>IF($G556="","",INDEX('EDS Lookup'!$G$6:$G$2819,$G556))</f>
        <v/>
      </c>
      <c r="G556" t="str">
        <f>IF(533&lt;=$B$4,IFERROR(MATCH(533,'EDS Lookup'!$H$6:$H$2819,0),""),"")</f>
        <v/>
      </c>
      <c r="H556" t="str">
        <f t="shared" si="8"/>
        <v/>
      </c>
    </row>
    <row r="557" spans="1:8" ht="19.95" customHeight="1">
      <c r="A557" s="5" t="str">
        <f>IF($G557="","",INDEX('EDS Lookup'!$D$6:$D$2819,$G557))</f>
        <v/>
      </c>
      <c r="B557" s="5" t="str">
        <f>IF($G557="","",INDEX('EDS Lookup'!$B$6:$B$2819,$G557))</f>
        <v/>
      </c>
      <c r="C557" s="17"/>
      <c r="D557" s="6"/>
      <c r="E557" s="7" t="str">
        <f>IF($G557="","",INDEX('EDS Lookup'!$F$6:$F$2819,$G557))</f>
        <v/>
      </c>
      <c r="F557" s="8" t="str">
        <f>IF($G557="","",INDEX('EDS Lookup'!$G$6:$G$2819,$G557))</f>
        <v/>
      </c>
      <c r="G557" t="str">
        <f>IF(534&lt;=$B$4,IFERROR(MATCH(534,'EDS Lookup'!$H$6:$H$2819,0),""),"")</f>
        <v/>
      </c>
      <c r="H557" t="str">
        <f t="shared" si="8"/>
        <v/>
      </c>
    </row>
    <row r="558" spans="1:8" ht="19.95" customHeight="1">
      <c r="A558" s="5" t="str">
        <f>IF($G558="","",INDEX('EDS Lookup'!$D$6:$D$2819,$G558))</f>
        <v/>
      </c>
      <c r="B558" s="5" t="str">
        <f>IF($G558="","",INDEX('EDS Lookup'!$B$6:$B$2819,$G558))</f>
        <v/>
      </c>
      <c r="C558" s="17"/>
      <c r="D558" s="6"/>
      <c r="E558" s="7" t="str">
        <f>IF($G558="","",INDEX('EDS Lookup'!$F$6:$F$2819,$G558))</f>
        <v/>
      </c>
      <c r="F558" s="8" t="str">
        <f>IF($G558="","",INDEX('EDS Lookup'!$G$6:$G$2819,$G558))</f>
        <v/>
      </c>
      <c r="G558" t="str">
        <f>IF(535&lt;=$B$4,IFERROR(MATCH(535,'EDS Lookup'!$H$6:$H$2819,0),""),"")</f>
        <v/>
      </c>
      <c r="H558" t="str">
        <f t="shared" si="8"/>
        <v/>
      </c>
    </row>
    <row r="559" spans="1:8" ht="19.95" customHeight="1">
      <c r="A559" s="5" t="str">
        <f>IF($G559="","",INDEX('EDS Lookup'!$D$6:$D$2819,$G559))</f>
        <v/>
      </c>
      <c r="B559" s="5" t="str">
        <f>IF($G559="","",INDEX('EDS Lookup'!$B$6:$B$2819,$G559))</f>
        <v/>
      </c>
      <c r="C559" s="17"/>
      <c r="D559" s="6"/>
      <c r="E559" s="7" t="str">
        <f>IF($G559="","",INDEX('EDS Lookup'!$F$6:$F$2819,$G559))</f>
        <v/>
      </c>
      <c r="F559" s="8" t="str">
        <f>IF($G559="","",INDEX('EDS Lookup'!$G$6:$G$2819,$G559))</f>
        <v/>
      </c>
      <c r="G559" t="str">
        <f>IF(536&lt;=$B$4,IFERROR(MATCH(536,'EDS Lookup'!$H$6:$H$2819,0),""),"")</f>
        <v/>
      </c>
      <c r="H559" t="str">
        <f t="shared" si="8"/>
        <v/>
      </c>
    </row>
    <row r="560" spans="1:8" ht="19.95" customHeight="1">
      <c r="A560" s="5" t="str">
        <f>IF($G560="","",INDEX('EDS Lookup'!$D$6:$D$2819,$G560))</f>
        <v/>
      </c>
      <c r="B560" s="5" t="str">
        <f>IF($G560="","",INDEX('EDS Lookup'!$B$6:$B$2819,$G560))</f>
        <v/>
      </c>
      <c r="C560" s="17"/>
      <c r="D560" s="6"/>
      <c r="E560" s="7" t="str">
        <f>IF($G560="","",INDEX('EDS Lookup'!$F$6:$F$2819,$G560))</f>
        <v/>
      </c>
      <c r="F560" s="8" t="str">
        <f>IF($G560="","",INDEX('EDS Lookup'!$G$6:$G$2819,$G560))</f>
        <v/>
      </c>
      <c r="G560" t="str">
        <f>IF(537&lt;=$B$4,IFERROR(MATCH(537,'EDS Lookup'!$H$6:$H$2819,0),""),"")</f>
        <v/>
      </c>
      <c r="H560" t="str">
        <f t="shared" si="8"/>
        <v/>
      </c>
    </row>
    <row r="561" spans="1:8" ht="19.95" customHeight="1">
      <c r="A561" s="5" t="str">
        <f>IF($G561="","",INDEX('EDS Lookup'!$D$6:$D$2819,$G561))</f>
        <v/>
      </c>
      <c r="B561" s="5" t="str">
        <f>IF($G561="","",INDEX('EDS Lookup'!$B$6:$B$2819,$G561))</f>
        <v/>
      </c>
      <c r="C561" s="17"/>
      <c r="D561" s="6"/>
      <c r="E561" s="7" t="str">
        <f>IF($G561="","",INDEX('EDS Lookup'!$F$6:$F$2819,$G561))</f>
        <v/>
      </c>
      <c r="F561" s="8" t="str">
        <f>IF($G561="","",INDEX('EDS Lookup'!$G$6:$G$2819,$G561))</f>
        <v/>
      </c>
      <c r="G561" t="str">
        <f>IF(538&lt;=$B$4,IFERROR(MATCH(538,'EDS Lookup'!$H$6:$H$2819,0),""),"")</f>
        <v/>
      </c>
      <c r="H561" t="str">
        <f t="shared" si="8"/>
        <v/>
      </c>
    </row>
    <row r="562" spans="1:8" ht="19.95" customHeight="1">
      <c r="A562" s="5" t="str">
        <f>IF($G562="","",INDEX('EDS Lookup'!$D$6:$D$2819,$G562))</f>
        <v/>
      </c>
      <c r="B562" s="5" t="str">
        <f>IF($G562="","",INDEX('EDS Lookup'!$B$6:$B$2819,$G562))</f>
        <v/>
      </c>
      <c r="C562" s="17"/>
      <c r="D562" s="6"/>
      <c r="E562" s="7" t="str">
        <f>IF($G562="","",INDEX('EDS Lookup'!$F$6:$F$2819,$G562))</f>
        <v/>
      </c>
      <c r="F562" s="8" t="str">
        <f>IF($G562="","",INDEX('EDS Lookup'!$G$6:$G$2819,$G562))</f>
        <v/>
      </c>
      <c r="G562" t="str">
        <f>IF(539&lt;=$B$4,IFERROR(MATCH(539,'EDS Lookup'!$H$6:$H$2819,0),""),"")</f>
        <v/>
      </c>
      <c r="H562" t="str">
        <f t="shared" si="8"/>
        <v/>
      </c>
    </row>
    <row r="563" spans="1:8" ht="19.95" customHeight="1">
      <c r="A563" s="5" t="str">
        <f>IF($G563="","",INDEX('EDS Lookup'!$D$6:$D$2819,$G563))</f>
        <v/>
      </c>
      <c r="B563" s="5" t="str">
        <f>IF($G563="","",INDEX('EDS Lookup'!$B$6:$B$2819,$G563))</f>
        <v/>
      </c>
      <c r="C563" s="17"/>
      <c r="D563" s="6"/>
      <c r="E563" s="7" t="str">
        <f>IF($G563="","",INDEX('EDS Lookup'!$F$6:$F$2819,$G563))</f>
        <v/>
      </c>
      <c r="F563" s="8" t="str">
        <f>IF($G563="","",INDEX('EDS Lookup'!$G$6:$G$2819,$G563))</f>
        <v/>
      </c>
      <c r="G563" t="str">
        <f>IF(540&lt;=$B$4,IFERROR(MATCH(540,'EDS Lookup'!$H$6:$H$2819,0),""),"")</f>
        <v/>
      </c>
      <c r="H563" t="str">
        <f t="shared" si="8"/>
        <v/>
      </c>
    </row>
    <row r="564" spans="1:8" ht="19.95" customHeight="1">
      <c r="A564" s="5" t="str">
        <f>IF($G564="","",INDEX('EDS Lookup'!$D$6:$D$2819,$G564))</f>
        <v/>
      </c>
      <c r="B564" s="5" t="str">
        <f>IF($G564="","",INDEX('EDS Lookup'!$B$6:$B$2819,$G564))</f>
        <v/>
      </c>
      <c r="C564" s="17"/>
      <c r="D564" s="6"/>
      <c r="E564" s="7" t="str">
        <f>IF($G564="","",INDEX('EDS Lookup'!$F$6:$F$2819,$G564))</f>
        <v/>
      </c>
      <c r="F564" s="8" t="str">
        <f>IF($G564="","",INDEX('EDS Lookup'!$G$6:$G$2819,$G564))</f>
        <v/>
      </c>
      <c r="G564" t="str">
        <f>IF(541&lt;=$B$4,IFERROR(MATCH(541,'EDS Lookup'!$H$6:$H$2819,0),""),"")</f>
        <v/>
      </c>
      <c r="H564" t="str">
        <f t="shared" si="8"/>
        <v/>
      </c>
    </row>
    <row r="565" spans="1:8" ht="19.95" customHeight="1">
      <c r="A565" s="5" t="str">
        <f>IF($G565="","",INDEX('EDS Lookup'!$D$6:$D$2819,$G565))</f>
        <v/>
      </c>
      <c r="B565" s="5" t="str">
        <f>IF($G565="","",INDEX('EDS Lookup'!$B$6:$B$2819,$G565))</f>
        <v/>
      </c>
      <c r="C565" s="17"/>
      <c r="D565" s="6"/>
      <c r="E565" s="7" t="str">
        <f>IF($G565="","",INDEX('EDS Lookup'!$F$6:$F$2819,$G565))</f>
        <v/>
      </c>
      <c r="F565" s="8" t="str">
        <f>IF($G565="","",INDEX('EDS Lookup'!$G$6:$G$2819,$G565))</f>
        <v/>
      </c>
      <c r="G565" t="str">
        <f>IF(542&lt;=$B$4,IFERROR(MATCH(542,'EDS Lookup'!$H$6:$H$2819,0),""),"")</f>
        <v/>
      </c>
      <c r="H565" t="str">
        <f t="shared" si="8"/>
        <v/>
      </c>
    </row>
    <row r="566" spans="1:8" ht="19.95" customHeight="1">
      <c r="A566" s="5" t="str">
        <f>IF($G566="","",INDEX('EDS Lookup'!$D$6:$D$2819,$G566))</f>
        <v/>
      </c>
      <c r="B566" s="5" t="str">
        <f>IF($G566="","",INDEX('EDS Lookup'!$B$6:$B$2819,$G566))</f>
        <v/>
      </c>
      <c r="C566" s="17"/>
      <c r="D566" s="6"/>
      <c r="E566" s="7" t="str">
        <f>IF($G566="","",INDEX('EDS Lookup'!$F$6:$F$2819,$G566))</f>
        <v/>
      </c>
      <c r="F566" s="8" t="str">
        <f>IF($G566="","",INDEX('EDS Lookup'!$G$6:$G$2819,$G566))</f>
        <v/>
      </c>
      <c r="G566" t="str">
        <f>IF(543&lt;=$B$4,IFERROR(MATCH(543,'EDS Lookup'!$H$6:$H$2819,0),""),"")</f>
        <v/>
      </c>
      <c r="H566" t="str">
        <f t="shared" si="8"/>
        <v/>
      </c>
    </row>
    <row r="567" spans="1:8" ht="19.95" customHeight="1">
      <c r="A567" s="5" t="str">
        <f>IF($G567="","",INDEX('EDS Lookup'!$D$6:$D$2819,$G567))</f>
        <v/>
      </c>
      <c r="B567" s="5" t="str">
        <f>IF($G567="","",INDEX('EDS Lookup'!$B$6:$B$2819,$G567))</f>
        <v/>
      </c>
      <c r="C567" s="17"/>
      <c r="D567" s="6"/>
      <c r="E567" s="7" t="str">
        <f>IF($G567="","",INDEX('EDS Lookup'!$F$6:$F$2819,$G567))</f>
        <v/>
      </c>
      <c r="F567" s="8" t="str">
        <f>IF($G567="","",INDEX('EDS Lookup'!$G$6:$G$2819,$G567))</f>
        <v/>
      </c>
      <c r="G567" t="str">
        <f>IF(544&lt;=$B$4,IFERROR(MATCH(544,'EDS Lookup'!$H$6:$H$2819,0),""),"")</f>
        <v/>
      </c>
      <c r="H567" t="str">
        <f t="shared" si="8"/>
        <v/>
      </c>
    </row>
    <row r="568" spans="1:8" ht="19.95" customHeight="1">
      <c r="A568" s="5" t="str">
        <f>IF($G568="","",INDEX('EDS Lookup'!$D$6:$D$2819,$G568))</f>
        <v/>
      </c>
      <c r="B568" s="5" t="str">
        <f>IF($G568="","",INDEX('EDS Lookup'!$B$6:$B$2819,$G568))</f>
        <v/>
      </c>
      <c r="C568" s="17"/>
      <c r="D568" s="6"/>
      <c r="E568" s="7" t="str">
        <f>IF($G568="","",INDEX('EDS Lookup'!$F$6:$F$2819,$G568))</f>
        <v/>
      </c>
      <c r="F568" s="8" t="str">
        <f>IF($G568="","",INDEX('EDS Lookup'!$G$6:$G$2819,$G568))</f>
        <v/>
      </c>
      <c r="G568" t="str">
        <f>IF(545&lt;=$B$4,IFERROR(MATCH(545,'EDS Lookup'!$H$6:$H$2819,0),""),"")</f>
        <v/>
      </c>
      <c r="H568" t="str">
        <f t="shared" si="8"/>
        <v/>
      </c>
    </row>
    <row r="569" spans="1:8" ht="19.95" customHeight="1">
      <c r="A569" s="5" t="str">
        <f>IF($G569="","",INDEX('EDS Lookup'!$D$6:$D$2819,$G569))</f>
        <v/>
      </c>
      <c r="B569" s="5" t="str">
        <f>IF($G569="","",INDEX('EDS Lookup'!$B$6:$B$2819,$G569))</f>
        <v/>
      </c>
      <c r="C569" s="17"/>
      <c r="D569" s="6"/>
      <c r="E569" s="7" t="str">
        <f>IF($G569="","",INDEX('EDS Lookup'!$F$6:$F$2819,$G569))</f>
        <v/>
      </c>
      <c r="F569" s="8" t="str">
        <f>IF($G569="","",INDEX('EDS Lookup'!$G$6:$G$2819,$G569))</f>
        <v/>
      </c>
      <c r="G569" t="str">
        <f>IF(546&lt;=$B$4,IFERROR(MATCH(546,'EDS Lookup'!$H$6:$H$2819,0),""),"")</f>
        <v/>
      </c>
      <c r="H569" t="str">
        <f t="shared" si="8"/>
        <v/>
      </c>
    </row>
    <row r="570" spans="1:8" ht="19.95" customHeight="1">
      <c r="A570" s="5" t="str">
        <f>IF($G570="","",INDEX('EDS Lookup'!$D$6:$D$2819,$G570))</f>
        <v/>
      </c>
      <c r="B570" s="5" t="str">
        <f>IF($G570="","",INDEX('EDS Lookup'!$B$6:$B$2819,$G570))</f>
        <v/>
      </c>
      <c r="C570" s="17"/>
      <c r="D570" s="6"/>
      <c r="E570" s="7" t="str">
        <f>IF($G570="","",INDEX('EDS Lookup'!$F$6:$F$2819,$G570))</f>
        <v/>
      </c>
      <c r="F570" s="8" t="str">
        <f>IF($G570="","",INDEX('EDS Lookup'!$G$6:$G$2819,$G570))</f>
        <v/>
      </c>
      <c r="G570" t="str">
        <f>IF(547&lt;=$B$4,IFERROR(MATCH(547,'EDS Lookup'!$H$6:$H$2819,0),""),"")</f>
        <v/>
      </c>
      <c r="H570" t="str">
        <f t="shared" si="8"/>
        <v/>
      </c>
    </row>
    <row r="571" spans="1:8" ht="19.95" customHeight="1">
      <c r="A571" s="5" t="str">
        <f>IF($G571="","",INDEX('EDS Lookup'!$D$6:$D$2819,$G571))</f>
        <v/>
      </c>
      <c r="B571" s="5" t="str">
        <f>IF($G571="","",INDEX('EDS Lookup'!$B$6:$B$2819,$G571))</f>
        <v/>
      </c>
      <c r="C571" s="17"/>
      <c r="D571" s="6"/>
      <c r="E571" s="7" t="str">
        <f>IF($G571="","",INDEX('EDS Lookup'!$F$6:$F$2819,$G571))</f>
        <v/>
      </c>
      <c r="F571" s="8" t="str">
        <f>IF($G571="","",INDEX('EDS Lookup'!$G$6:$G$2819,$G571))</f>
        <v/>
      </c>
      <c r="G571" t="str">
        <f>IF(548&lt;=$B$4,IFERROR(MATCH(548,'EDS Lookup'!$H$6:$H$2819,0),""),"")</f>
        <v/>
      </c>
      <c r="H571" t="str">
        <f t="shared" si="8"/>
        <v/>
      </c>
    </row>
    <row r="572" spans="1:8" ht="19.95" customHeight="1">
      <c r="A572" s="5" t="str">
        <f>IF($G572="","",INDEX('EDS Lookup'!$D$6:$D$2819,$G572))</f>
        <v/>
      </c>
      <c r="B572" s="5" t="str">
        <f>IF($G572="","",INDEX('EDS Lookup'!$B$6:$B$2819,$G572))</f>
        <v/>
      </c>
      <c r="C572" s="17"/>
      <c r="D572" s="6"/>
      <c r="E572" s="7" t="str">
        <f>IF($G572="","",INDEX('EDS Lookup'!$F$6:$F$2819,$G572))</f>
        <v/>
      </c>
      <c r="F572" s="8" t="str">
        <f>IF($G572="","",INDEX('EDS Lookup'!$G$6:$G$2819,$G572))</f>
        <v/>
      </c>
      <c r="G572" t="str">
        <f>IF(549&lt;=$B$4,IFERROR(MATCH(549,'EDS Lookup'!$H$6:$H$2819,0),""),"")</f>
        <v/>
      </c>
      <c r="H572" t="str">
        <f t="shared" si="8"/>
        <v/>
      </c>
    </row>
    <row r="573" spans="1:8" ht="19.95" customHeight="1">
      <c r="A573" s="5" t="str">
        <f>IF($G573="","",INDEX('EDS Lookup'!$D$6:$D$2819,$G573))</f>
        <v/>
      </c>
      <c r="B573" s="5" t="str">
        <f>IF($G573="","",INDEX('EDS Lookup'!$B$6:$B$2819,$G573))</f>
        <v/>
      </c>
      <c r="C573" s="17"/>
      <c r="D573" s="6"/>
      <c r="E573" s="7" t="str">
        <f>IF($G573="","",INDEX('EDS Lookup'!$F$6:$F$2819,$G573))</f>
        <v/>
      </c>
      <c r="F573" s="8" t="str">
        <f>IF($G573="","",INDEX('EDS Lookup'!$G$6:$G$2819,$G573))</f>
        <v/>
      </c>
      <c r="G573" t="str">
        <f>IF(550&lt;=$B$4,IFERROR(MATCH(550,'EDS Lookup'!$H$6:$H$2819,0),""),"")</f>
        <v/>
      </c>
      <c r="H573" t="str">
        <f t="shared" si="8"/>
        <v/>
      </c>
    </row>
    <row r="574" spans="1:8" ht="19.95" customHeight="1">
      <c r="A574" s="5" t="str">
        <f>IF($G574="","",INDEX('EDS Lookup'!$D$6:$D$2819,$G574))</f>
        <v/>
      </c>
      <c r="B574" s="5" t="str">
        <f>IF($G574="","",INDEX('EDS Lookup'!$B$6:$B$2819,$G574))</f>
        <v/>
      </c>
      <c r="C574" s="17"/>
      <c r="D574" s="6"/>
      <c r="E574" s="7" t="str">
        <f>IF($G574="","",INDEX('EDS Lookup'!$F$6:$F$2819,$G574))</f>
        <v/>
      </c>
      <c r="F574" s="8" t="str">
        <f>IF($G574="","",INDEX('EDS Lookup'!$G$6:$G$2819,$G574))</f>
        <v/>
      </c>
      <c r="G574" t="str">
        <f>IF(551&lt;=$B$4,IFERROR(MATCH(551,'EDS Lookup'!$H$6:$H$2819,0),""),"")</f>
        <v/>
      </c>
      <c r="H574" t="str">
        <f t="shared" si="8"/>
        <v/>
      </c>
    </row>
    <row r="575" spans="1:8" ht="19.95" customHeight="1">
      <c r="A575" s="5" t="str">
        <f>IF($G575="","",INDEX('EDS Lookup'!$D$6:$D$2819,$G575))</f>
        <v/>
      </c>
      <c r="B575" s="5" t="str">
        <f>IF($G575="","",INDEX('EDS Lookup'!$B$6:$B$2819,$G575))</f>
        <v/>
      </c>
      <c r="C575" s="17"/>
      <c r="D575" s="6"/>
      <c r="E575" s="7" t="str">
        <f>IF($G575="","",INDEX('EDS Lookup'!$F$6:$F$2819,$G575))</f>
        <v/>
      </c>
      <c r="F575" s="8" t="str">
        <f>IF($G575="","",INDEX('EDS Lookup'!$G$6:$G$2819,$G575))</f>
        <v/>
      </c>
      <c r="G575" t="str">
        <f>IF(552&lt;=$B$4,IFERROR(MATCH(552,'EDS Lookup'!$H$6:$H$2819,0),""),"")</f>
        <v/>
      </c>
      <c r="H575" t="str">
        <f t="shared" si="8"/>
        <v/>
      </c>
    </row>
    <row r="576" spans="1:8" ht="19.95" customHeight="1">
      <c r="A576" s="5" t="str">
        <f>IF($G576="","",INDEX('EDS Lookup'!$D$6:$D$2819,$G576))</f>
        <v/>
      </c>
      <c r="B576" s="5" t="str">
        <f>IF($G576="","",INDEX('EDS Lookup'!$B$6:$B$2819,$G576))</f>
        <v/>
      </c>
      <c r="C576" s="17"/>
      <c r="D576" s="6"/>
      <c r="E576" s="7" t="str">
        <f>IF($G576="","",INDEX('EDS Lookup'!$F$6:$F$2819,$G576))</f>
        <v/>
      </c>
      <c r="F576" s="8" t="str">
        <f>IF($G576="","",INDEX('EDS Lookup'!$G$6:$G$2819,$G576))</f>
        <v/>
      </c>
      <c r="G576" t="str">
        <f>IF(553&lt;=$B$4,IFERROR(MATCH(553,'EDS Lookup'!$H$6:$H$2819,0),""),"")</f>
        <v/>
      </c>
      <c r="H576" t="str">
        <f t="shared" si="8"/>
        <v/>
      </c>
    </row>
    <row r="577" spans="1:8" ht="19.95" customHeight="1">
      <c r="A577" s="5" t="str">
        <f>IF($G577="","",INDEX('EDS Lookup'!$D$6:$D$2819,$G577))</f>
        <v/>
      </c>
      <c r="B577" s="5" t="str">
        <f>IF($G577="","",INDEX('EDS Lookup'!$B$6:$B$2819,$G577))</f>
        <v/>
      </c>
      <c r="C577" s="17"/>
      <c r="D577" s="6"/>
      <c r="E577" s="7" t="str">
        <f>IF($G577="","",INDEX('EDS Lookup'!$F$6:$F$2819,$G577))</f>
        <v/>
      </c>
      <c r="F577" s="8" t="str">
        <f>IF($G577="","",INDEX('EDS Lookup'!$G$6:$G$2819,$G577))</f>
        <v/>
      </c>
      <c r="G577" t="str">
        <f>IF(554&lt;=$B$4,IFERROR(MATCH(554,'EDS Lookup'!$H$6:$H$2819,0),""),"")</f>
        <v/>
      </c>
      <c r="H577" t="str">
        <f t="shared" si="8"/>
        <v/>
      </c>
    </row>
    <row r="578" spans="1:8" ht="19.95" customHeight="1">
      <c r="A578" s="5" t="str">
        <f>IF($G578="","",INDEX('EDS Lookup'!$D$6:$D$2819,$G578))</f>
        <v/>
      </c>
      <c r="B578" s="5" t="str">
        <f>IF($G578="","",INDEX('EDS Lookup'!$B$6:$B$2819,$G578))</f>
        <v/>
      </c>
      <c r="C578" s="17"/>
      <c r="D578" s="6"/>
      <c r="E578" s="7" t="str">
        <f>IF($G578="","",INDEX('EDS Lookup'!$F$6:$F$2819,$G578))</f>
        <v/>
      </c>
      <c r="F578" s="8" t="str">
        <f>IF($G578="","",INDEX('EDS Lookup'!$G$6:$G$2819,$G578))</f>
        <v/>
      </c>
      <c r="G578" t="str">
        <f>IF(555&lt;=$B$4,IFERROR(MATCH(555,'EDS Lookup'!$H$6:$H$2819,0),""),"")</f>
        <v/>
      </c>
      <c r="H578" t="str">
        <f t="shared" si="8"/>
        <v/>
      </c>
    </row>
    <row r="579" spans="1:8" ht="19.95" customHeight="1">
      <c r="A579" s="5" t="str">
        <f>IF($G579="","",INDEX('EDS Lookup'!$D$6:$D$2819,$G579))</f>
        <v/>
      </c>
      <c r="B579" s="5" t="str">
        <f>IF($G579="","",INDEX('EDS Lookup'!$B$6:$B$2819,$G579))</f>
        <v/>
      </c>
      <c r="C579" s="17"/>
      <c r="D579" s="6"/>
      <c r="E579" s="7" t="str">
        <f>IF($G579="","",INDEX('EDS Lookup'!$F$6:$F$2819,$G579))</f>
        <v/>
      </c>
      <c r="F579" s="8" t="str">
        <f>IF($G579="","",INDEX('EDS Lookup'!$G$6:$G$2819,$G579))</f>
        <v/>
      </c>
      <c r="G579" t="str">
        <f>IF(556&lt;=$B$4,IFERROR(MATCH(556,'EDS Lookup'!$H$6:$H$2819,0),""),"")</f>
        <v/>
      </c>
      <c r="H579" t="str">
        <f t="shared" si="8"/>
        <v/>
      </c>
    </row>
    <row r="580" spans="1:8" ht="19.95" customHeight="1">
      <c r="A580" s="5" t="str">
        <f>IF($G580="","",INDEX('EDS Lookup'!$D$6:$D$2819,$G580))</f>
        <v/>
      </c>
      <c r="B580" s="5" t="str">
        <f>IF($G580="","",INDEX('EDS Lookup'!$B$6:$B$2819,$G580))</f>
        <v/>
      </c>
      <c r="C580" s="17"/>
      <c r="D580" s="6"/>
      <c r="E580" s="7" t="str">
        <f>IF($G580="","",INDEX('EDS Lookup'!$F$6:$F$2819,$G580))</f>
        <v/>
      </c>
      <c r="F580" s="8" t="str">
        <f>IF($G580="","",INDEX('EDS Lookup'!$G$6:$G$2819,$G580))</f>
        <v/>
      </c>
      <c r="G580" t="str">
        <f>IF(557&lt;=$B$4,IFERROR(MATCH(557,'EDS Lookup'!$H$6:$H$2819,0),""),"")</f>
        <v/>
      </c>
      <c r="H580" t="str">
        <f t="shared" si="8"/>
        <v/>
      </c>
    </row>
    <row r="581" spans="1:8" ht="19.95" customHeight="1">
      <c r="A581" s="5" t="str">
        <f>IF($G581="","",INDEX('EDS Lookup'!$D$6:$D$2819,$G581))</f>
        <v/>
      </c>
      <c r="B581" s="5" t="str">
        <f>IF($G581="","",INDEX('EDS Lookup'!$B$6:$B$2819,$G581))</f>
        <v/>
      </c>
      <c r="C581" s="17"/>
      <c r="D581" s="6"/>
      <c r="E581" s="7" t="str">
        <f>IF($G581="","",INDEX('EDS Lookup'!$F$6:$F$2819,$G581))</f>
        <v/>
      </c>
      <c r="F581" s="8" t="str">
        <f>IF($G581="","",INDEX('EDS Lookup'!$G$6:$G$2819,$G581))</f>
        <v/>
      </c>
      <c r="G581" t="str">
        <f>IF(558&lt;=$B$4,IFERROR(MATCH(558,'EDS Lookup'!$H$6:$H$2819,0),""),"")</f>
        <v/>
      </c>
      <c r="H581" t="str">
        <f t="shared" si="8"/>
        <v/>
      </c>
    </row>
    <row r="582" spans="1:8" ht="19.95" customHeight="1">
      <c r="A582" s="5" t="str">
        <f>IF($G582="","",INDEX('EDS Lookup'!$D$6:$D$2819,$G582))</f>
        <v/>
      </c>
      <c r="B582" s="5" t="str">
        <f>IF($G582="","",INDEX('EDS Lookup'!$B$6:$B$2819,$G582))</f>
        <v/>
      </c>
      <c r="C582" s="17"/>
      <c r="D582" s="6"/>
      <c r="E582" s="7" t="str">
        <f>IF($G582="","",INDEX('EDS Lookup'!$F$6:$F$2819,$G582))</f>
        <v/>
      </c>
      <c r="F582" s="8" t="str">
        <f>IF($G582="","",INDEX('EDS Lookup'!$G$6:$G$2819,$G582))</f>
        <v/>
      </c>
      <c r="G582" t="str">
        <f>IF(559&lt;=$B$4,IFERROR(MATCH(559,'EDS Lookup'!$H$6:$H$2819,0),""),"")</f>
        <v/>
      </c>
      <c r="H582" t="str">
        <f t="shared" si="8"/>
        <v/>
      </c>
    </row>
    <row r="583" spans="1:8" ht="19.95" customHeight="1">
      <c r="A583" s="5" t="str">
        <f>IF($G583="","",INDEX('EDS Lookup'!$D$6:$D$2819,$G583))</f>
        <v/>
      </c>
      <c r="B583" s="5" t="str">
        <f>IF($G583="","",INDEX('EDS Lookup'!$B$6:$B$2819,$G583))</f>
        <v/>
      </c>
      <c r="C583" s="17"/>
      <c r="D583" s="6"/>
      <c r="E583" s="7" t="str">
        <f>IF($G583="","",INDEX('EDS Lookup'!$F$6:$F$2819,$G583))</f>
        <v/>
      </c>
      <c r="F583" s="8" t="str">
        <f>IF($G583="","",INDEX('EDS Lookup'!$G$6:$G$2819,$G583))</f>
        <v/>
      </c>
      <c r="G583" t="str">
        <f>IF(560&lt;=$B$4,IFERROR(MATCH(560,'EDS Lookup'!$H$6:$H$2819,0),""),"")</f>
        <v/>
      </c>
      <c r="H583" t="str">
        <f t="shared" si="8"/>
        <v/>
      </c>
    </row>
    <row r="584" spans="1:8" ht="19.95" customHeight="1">
      <c r="A584" s="5" t="str">
        <f>IF($G584="","",INDEX('EDS Lookup'!$D$6:$D$2819,$G584))</f>
        <v/>
      </c>
      <c r="B584" s="5" t="str">
        <f>IF($G584="","",INDEX('EDS Lookup'!$B$6:$B$2819,$G584))</f>
        <v/>
      </c>
      <c r="C584" s="17"/>
      <c r="D584" s="6"/>
      <c r="E584" s="7" t="str">
        <f>IF($G584="","",INDEX('EDS Lookup'!$F$6:$F$2819,$G584))</f>
        <v/>
      </c>
      <c r="F584" s="8" t="str">
        <f>IF($G584="","",INDEX('EDS Lookup'!$G$6:$G$2819,$G584))</f>
        <v/>
      </c>
      <c r="G584" t="str">
        <f>IF(561&lt;=$B$4,IFERROR(MATCH(561,'EDS Lookup'!$H$6:$H$2819,0),""),"")</f>
        <v/>
      </c>
      <c r="H584" t="str">
        <f t="shared" si="8"/>
        <v/>
      </c>
    </row>
    <row r="585" spans="1:8" ht="19.95" customHeight="1">
      <c r="A585" s="5" t="str">
        <f>IF($G585="","",INDEX('EDS Lookup'!$D$6:$D$2819,$G585))</f>
        <v/>
      </c>
      <c r="B585" s="5" t="str">
        <f>IF($G585="","",INDEX('EDS Lookup'!$B$6:$B$2819,$G585))</f>
        <v/>
      </c>
      <c r="C585" s="17"/>
      <c r="D585" s="6"/>
      <c r="E585" s="7" t="str">
        <f>IF($G585="","",INDEX('EDS Lookup'!$F$6:$F$2819,$G585))</f>
        <v/>
      </c>
      <c r="F585" s="8" t="str">
        <f>IF($G585="","",INDEX('EDS Lookup'!$G$6:$G$2819,$G585))</f>
        <v/>
      </c>
      <c r="G585" t="str">
        <f>IF(562&lt;=$B$4,IFERROR(MATCH(562,'EDS Lookup'!$H$6:$H$2819,0),""),"")</f>
        <v/>
      </c>
      <c r="H585" t="str">
        <f t="shared" si="8"/>
        <v/>
      </c>
    </row>
    <row r="586" spans="1:8" ht="19.95" customHeight="1">
      <c r="A586" s="5" t="str">
        <f>IF($G586="","",INDEX('EDS Lookup'!$D$6:$D$2819,$G586))</f>
        <v/>
      </c>
      <c r="B586" s="5" t="str">
        <f>IF($G586="","",INDEX('EDS Lookup'!$B$6:$B$2819,$G586))</f>
        <v/>
      </c>
      <c r="C586" s="17"/>
      <c r="D586" s="6"/>
      <c r="E586" s="7" t="str">
        <f>IF($G586="","",INDEX('EDS Lookup'!$F$6:$F$2819,$G586))</f>
        <v/>
      </c>
      <c r="F586" s="8" t="str">
        <f>IF($G586="","",INDEX('EDS Lookup'!$G$6:$G$2819,$G586))</f>
        <v/>
      </c>
      <c r="G586" t="str">
        <f>IF(563&lt;=$B$4,IFERROR(MATCH(563,'EDS Lookup'!$H$6:$H$2819,0),""),"")</f>
        <v/>
      </c>
      <c r="H586" t="str">
        <f t="shared" si="8"/>
        <v/>
      </c>
    </row>
    <row r="587" spans="1:8" ht="19.95" customHeight="1">
      <c r="A587" s="5" t="str">
        <f>IF($G587="","",INDEX('EDS Lookup'!$D$6:$D$2819,$G587))</f>
        <v/>
      </c>
      <c r="B587" s="5" t="str">
        <f>IF($G587="","",INDEX('EDS Lookup'!$B$6:$B$2819,$G587))</f>
        <v/>
      </c>
      <c r="C587" s="17"/>
      <c r="D587" s="6"/>
      <c r="E587" s="7" t="str">
        <f>IF($G587="","",INDEX('EDS Lookup'!$F$6:$F$2819,$G587))</f>
        <v/>
      </c>
      <c r="F587" s="8" t="str">
        <f>IF($G587="","",INDEX('EDS Lookup'!$G$6:$G$2819,$G587))</f>
        <v/>
      </c>
      <c r="G587" t="str">
        <f>IF(564&lt;=$B$4,IFERROR(MATCH(564,'EDS Lookup'!$H$6:$H$2819,0),""),"")</f>
        <v/>
      </c>
      <c r="H587" t="str">
        <f t="shared" si="8"/>
        <v/>
      </c>
    </row>
    <row r="588" spans="1:8" ht="19.95" customHeight="1">
      <c r="A588" s="5" t="str">
        <f>IF($G588="","",INDEX('EDS Lookup'!$D$6:$D$2819,$G588))</f>
        <v/>
      </c>
      <c r="B588" s="5" t="str">
        <f>IF($G588="","",INDEX('EDS Lookup'!$B$6:$B$2819,$G588))</f>
        <v/>
      </c>
      <c r="C588" s="17"/>
      <c r="D588" s="6"/>
      <c r="E588" s="7" t="str">
        <f>IF($G588="","",INDEX('EDS Lookup'!$F$6:$F$2819,$G588))</f>
        <v/>
      </c>
      <c r="F588" s="8" t="str">
        <f>IF($G588="","",INDEX('EDS Lookup'!$G$6:$G$2819,$G588))</f>
        <v/>
      </c>
      <c r="G588" t="str">
        <f>IF(565&lt;=$B$4,IFERROR(MATCH(565,'EDS Lookup'!$H$6:$H$2819,0),""),"")</f>
        <v/>
      </c>
      <c r="H588" t="str">
        <f t="shared" si="8"/>
        <v/>
      </c>
    </row>
    <row r="589" spans="1:8" ht="19.95" customHeight="1">
      <c r="A589" s="5" t="str">
        <f>IF($G589="","",INDEX('EDS Lookup'!$D$6:$D$2819,$G589))</f>
        <v/>
      </c>
      <c r="B589" s="5" t="str">
        <f>IF($G589="","",INDEX('EDS Lookup'!$B$6:$B$2819,$G589))</f>
        <v/>
      </c>
      <c r="C589" s="17"/>
      <c r="D589" s="6"/>
      <c r="E589" s="7" t="str">
        <f>IF($G589="","",INDEX('EDS Lookup'!$F$6:$F$2819,$G589))</f>
        <v/>
      </c>
      <c r="F589" s="8" t="str">
        <f>IF($G589="","",INDEX('EDS Lookup'!$G$6:$G$2819,$G589))</f>
        <v/>
      </c>
      <c r="G589" t="str">
        <f>IF(566&lt;=$B$4,IFERROR(MATCH(566,'EDS Lookup'!$H$6:$H$2819,0),""),"")</f>
        <v/>
      </c>
      <c r="H589" t="str">
        <f t="shared" si="8"/>
        <v/>
      </c>
    </row>
    <row r="590" spans="1:8" ht="19.95" customHeight="1">
      <c r="A590" s="5" t="str">
        <f>IF($G590="","",INDEX('EDS Lookup'!$D$6:$D$2819,$G590))</f>
        <v/>
      </c>
      <c r="B590" s="5" t="str">
        <f>IF($G590="","",INDEX('EDS Lookup'!$B$6:$B$2819,$G590))</f>
        <v/>
      </c>
      <c r="C590" s="17"/>
      <c r="D590" s="6"/>
      <c r="E590" s="7" t="str">
        <f>IF($G590="","",INDEX('EDS Lookup'!$F$6:$F$2819,$G590))</f>
        <v/>
      </c>
      <c r="F590" s="8" t="str">
        <f>IF($G590="","",INDEX('EDS Lookup'!$G$6:$G$2819,$G590))</f>
        <v/>
      </c>
      <c r="G590" t="str">
        <f>IF(567&lt;=$B$4,IFERROR(MATCH(567,'EDS Lookup'!$H$6:$H$2819,0),""),"")</f>
        <v/>
      </c>
      <c r="H590" t="str">
        <f t="shared" si="8"/>
        <v/>
      </c>
    </row>
    <row r="591" spans="1:8" ht="19.95" customHeight="1">
      <c r="A591" s="5" t="str">
        <f>IF($G591="","",INDEX('EDS Lookup'!$D$6:$D$2819,$G591))</f>
        <v/>
      </c>
      <c r="B591" s="5" t="str">
        <f>IF($G591="","",INDEX('EDS Lookup'!$B$6:$B$2819,$G591))</f>
        <v/>
      </c>
      <c r="C591" s="17"/>
      <c r="D591" s="6"/>
      <c r="E591" s="7" t="str">
        <f>IF($G591="","",INDEX('EDS Lookup'!$F$6:$F$2819,$G591))</f>
        <v/>
      </c>
      <c r="F591" s="8" t="str">
        <f>IF($G591="","",INDEX('EDS Lookup'!$G$6:$G$2819,$G591))</f>
        <v/>
      </c>
      <c r="G591" t="str">
        <f>IF(568&lt;=$B$4,IFERROR(MATCH(568,'EDS Lookup'!$H$6:$H$2819,0),""),"")</f>
        <v/>
      </c>
      <c r="H591" t="str">
        <f t="shared" si="8"/>
        <v/>
      </c>
    </row>
    <row r="592" spans="1:8" ht="19.95" customHeight="1">
      <c r="A592" s="5" t="str">
        <f>IF($G592="","",INDEX('EDS Lookup'!$D$6:$D$2819,$G592))</f>
        <v/>
      </c>
      <c r="B592" s="5" t="str">
        <f>IF($G592="","",INDEX('EDS Lookup'!$B$6:$B$2819,$G592))</f>
        <v/>
      </c>
      <c r="C592" s="17"/>
      <c r="D592" s="6"/>
      <c r="E592" s="7" t="str">
        <f>IF($G592="","",INDEX('EDS Lookup'!$F$6:$F$2819,$G592))</f>
        <v/>
      </c>
      <c r="F592" s="8" t="str">
        <f>IF($G592="","",INDEX('EDS Lookup'!$G$6:$G$2819,$G592))</f>
        <v/>
      </c>
      <c r="G592" t="str">
        <f>IF(569&lt;=$B$4,IFERROR(MATCH(569,'EDS Lookup'!$H$6:$H$2819,0),""),"")</f>
        <v/>
      </c>
      <c r="H592" t="str">
        <f t="shared" si="8"/>
        <v/>
      </c>
    </row>
    <row r="593" spans="1:8" ht="19.95" customHeight="1">
      <c r="A593" s="5" t="str">
        <f>IF($G593="","",INDEX('EDS Lookup'!$D$6:$D$2819,$G593))</f>
        <v/>
      </c>
      <c r="B593" s="5" t="str">
        <f>IF($G593="","",INDEX('EDS Lookup'!$B$6:$B$2819,$G593))</f>
        <v/>
      </c>
      <c r="C593" s="17"/>
      <c r="D593" s="6"/>
      <c r="E593" s="7" t="str">
        <f>IF($G593="","",INDEX('EDS Lookup'!$F$6:$F$2819,$G593))</f>
        <v/>
      </c>
      <c r="F593" s="8" t="str">
        <f>IF($G593="","",INDEX('EDS Lookup'!$G$6:$G$2819,$G593))</f>
        <v/>
      </c>
      <c r="G593" t="str">
        <f>IF(570&lt;=$B$4,IFERROR(MATCH(570,'EDS Lookup'!$H$6:$H$2819,0),""),"")</f>
        <v/>
      </c>
      <c r="H593" t="str">
        <f t="shared" si="8"/>
        <v/>
      </c>
    </row>
    <row r="594" spans="1:8" ht="19.95" customHeight="1">
      <c r="A594" s="5" t="str">
        <f>IF($G594="","",INDEX('EDS Lookup'!$D$6:$D$2819,$G594))</f>
        <v/>
      </c>
      <c r="B594" s="5" t="str">
        <f>IF($G594="","",INDEX('EDS Lookup'!$B$6:$B$2819,$G594))</f>
        <v/>
      </c>
      <c r="C594" s="17"/>
      <c r="D594" s="6"/>
      <c r="E594" s="7" t="str">
        <f>IF($G594="","",INDEX('EDS Lookup'!$F$6:$F$2819,$G594))</f>
        <v/>
      </c>
      <c r="F594" s="8" t="str">
        <f>IF($G594="","",INDEX('EDS Lookup'!$G$6:$G$2819,$G594))</f>
        <v/>
      </c>
      <c r="G594" t="str">
        <f>IF(571&lt;=$B$4,IFERROR(MATCH(571,'EDS Lookup'!$H$6:$H$2819,0),""),"")</f>
        <v/>
      </c>
      <c r="H594" t="str">
        <f t="shared" si="8"/>
        <v/>
      </c>
    </row>
    <row r="595" spans="1:8" ht="19.95" customHeight="1">
      <c r="A595" s="5" t="str">
        <f>IF($G595="","",INDEX('EDS Lookup'!$D$6:$D$2819,$G595))</f>
        <v/>
      </c>
      <c r="B595" s="5" t="str">
        <f>IF($G595="","",INDEX('EDS Lookup'!$B$6:$B$2819,$G595))</f>
        <v/>
      </c>
      <c r="C595" s="17"/>
      <c r="D595" s="6"/>
      <c r="E595" s="7" t="str">
        <f>IF($G595="","",INDEX('EDS Lookup'!$F$6:$F$2819,$G595))</f>
        <v/>
      </c>
      <c r="F595" s="8" t="str">
        <f>IF($G595="","",INDEX('EDS Lookup'!$G$6:$G$2819,$G595))</f>
        <v/>
      </c>
      <c r="G595" t="str">
        <f>IF(572&lt;=$B$4,IFERROR(MATCH(572,'EDS Lookup'!$H$6:$H$2819,0),""),"")</f>
        <v/>
      </c>
      <c r="H595" t="str">
        <f t="shared" si="8"/>
        <v/>
      </c>
    </row>
    <row r="596" spans="1:8" ht="19.95" customHeight="1">
      <c r="A596" s="5" t="str">
        <f>IF($G596="","",INDEX('EDS Lookup'!$D$6:$D$2819,$G596))</f>
        <v/>
      </c>
      <c r="B596" s="5" t="str">
        <f>IF($G596="","",INDEX('EDS Lookup'!$B$6:$B$2819,$G596))</f>
        <v/>
      </c>
      <c r="C596" s="17"/>
      <c r="D596" s="6"/>
      <c r="E596" s="7" t="str">
        <f>IF($G596="","",INDEX('EDS Lookup'!$F$6:$F$2819,$G596))</f>
        <v/>
      </c>
      <c r="F596" s="8" t="str">
        <f>IF($G596="","",INDEX('EDS Lookup'!$G$6:$G$2819,$G596))</f>
        <v/>
      </c>
      <c r="G596" t="str">
        <f>IF(573&lt;=$B$4,IFERROR(MATCH(573,'EDS Lookup'!$H$6:$H$2819,0),""),"")</f>
        <v/>
      </c>
      <c r="H596" t="str">
        <f t="shared" si="8"/>
        <v/>
      </c>
    </row>
    <row r="597" spans="1:8" ht="19.95" customHeight="1">
      <c r="A597" s="5" t="str">
        <f>IF($G597="","",INDEX('EDS Lookup'!$D$6:$D$2819,$G597))</f>
        <v/>
      </c>
      <c r="B597" s="5" t="str">
        <f>IF($G597="","",INDEX('EDS Lookup'!$B$6:$B$2819,$G597))</f>
        <v/>
      </c>
      <c r="C597" s="17"/>
      <c r="D597" s="6"/>
      <c r="E597" s="7" t="str">
        <f>IF($G597="","",INDEX('EDS Lookup'!$F$6:$F$2819,$G597))</f>
        <v/>
      </c>
      <c r="F597" s="8" t="str">
        <f>IF($G597="","",INDEX('EDS Lookup'!$G$6:$G$2819,$G597))</f>
        <v/>
      </c>
      <c r="G597" t="str">
        <f>IF(574&lt;=$B$4,IFERROR(MATCH(574,'EDS Lookup'!$H$6:$H$2819,0),""),"")</f>
        <v/>
      </c>
      <c r="H597" t="str">
        <f t="shared" si="8"/>
        <v/>
      </c>
    </row>
    <row r="598" spans="1:8" ht="19.95" customHeight="1">
      <c r="A598" s="5" t="str">
        <f>IF($G598="","",INDEX('EDS Lookup'!$D$6:$D$2819,$G598))</f>
        <v/>
      </c>
      <c r="B598" s="5" t="str">
        <f>IF($G598="","",INDEX('EDS Lookup'!$B$6:$B$2819,$G598))</f>
        <v/>
      </c>
      <c r="C598" s="17"/>
      <c r="D598" s="6"/>
      <c r="E598" s="7" t="str">
        <f>IF($G598="","",INDEX('EDS Lookup'!$F$6:$F$2819,$G598))</f>
        <v/>
      </c>
      <c r="F598" s="8" t="str">
        <f>IF($G598="","",INDEX('EDS Lookup'!$G$6:$G$2819,$G598))</f>
        <v/>
      </c>
      <c r="G598" t="str">
        <f>IF(575&lt;=$B$4,IFERROR(MATCH(575,'EDS Lookup'!$H$6:$H$2819,0),""),"")</f>
        <v/>
      </c>
      <c r="H598" t="str">
        <f t="shared" si="8"/>
        <v/>
      </c>
    </row>
    <row r="599" spans="1:8" ht="19.95" customHeight="1">
      <c r="A599" s="5" t="str">
        <f>IF($G599="","",INDEX('EDS Lookup'!$D$6:$D$2819,$G599))</f>
        <v/>
      </c>
      <c r="B599" s="5" t="str">
        <f>IF($G599="","",INDEX('EDS Lookup'!$B$6:$B$2819,$G599))</f>
        <v/>
      </c>
      <c r="C599" s="17"/>
      <c r="D599" s="6"/>
      <c r="E599" s="7" t="str">
        <f>IF($G599="","",INDEX('EDS Lookup'!$F$6:$F$2819,$G599))</f>
        <v/>
      </c>
      <c r="F599" s="8" t="str">
        <f>IF($G599="","",INDEX('EDS Lookup'!$G$6:$G$2819,$G599))</f>
        <v/>
      </c>
      <c r="G599" t="str">
        <f>IF(576&lt;=$B$4,IFERROR(MATCH(576,'EDS Lookup'!$H$6:$H$2819,0),""),"")</f>
        <v/>
      </c>
      <c r="H599" t="str">
        <f t="shared" si="8"/>
        <v/>
      </c>
    </row>
    <row r="600" spans="1:8" ht="19.95" customHeight="1">
      <c r="A600" s="5" t="str">
        <f>IF($G600="","",INDEX('EDS Lookup'!$D$6:$D$2819,$G600))</f>
        <v/>
      </c>
      <c r="B600" s="5" t="str">
        <f>IF($G600="","",INDEX('EDS Lookup'!$B$6:$B$2819,$G600))</f>
        <v/>
      </c>
      <c r="C600" s="17"/>
      <c r="D600" s="6"/>
      <c r="E600" s="7" t="str">
        <f>IF($G600="","",INDEX('EDS Lookup'!$F$6:$F$2819,$G600))</f>
        <v/>
      </c>
      <c r="F600" s="8" t="str">
        <f>IF($G600="","",INDEX('EDS Lookup'!$G$6:$G$2819,$G600))</f>
        <v/>
      </c>
      <c r="G600" t="str">
        <f>IF(577&lt;=$B$4,IFERROR(MATCH(577,'EDS Lookup'!$H$6:$H$2819,0),""),"")</f>
        <v/>
      </c>
      <c r="H600" t="str">
        <f t="shared" ref="H600:H663" si="9">IF(F600="&lt;5",5,IF(F600="&gt;95",95,IF(ISNUMBER(F600),F600,"")))</f>
        <v/>
      </c>
    </row>
    <row r="601" spans="1:8" ht="19.95" customHeight="1">
      <c r="A601" s="5" t="str">
        <f>IF($G601="","",INDEX('EDS Lookup'!$D$6:$D$2819,$G601))</f>
        <v/>
      </c>
      <c r="B601" s="5" t="str">
        <f>IF($G601="","",INDEX('EDS Lookup'!$B$6:$B$2819,$G601))</f>
        <v/>
      </c>
      <c r="C601" s="17"/>
      <c r="D601" s="6"/>
      <c r="E601" s="7" t="str">
        <f>IF($G601="","",INDEX('EDS Lookup'!$F$6:$F$2819,$G601))</f>
        <v/>
      </c>
      <c r="F601" s="8" t="str">
        <f>IF($G601="","",INDEX('EDS Lookup'!$G$6:$G$2819,$G601))</f>
        <v/>
      </c>
      <c r="G601" t="str">
        <f>IF(578&lt;=$B$4,IFERROR(MATCH(578,'EDS Lookup'!$H$6:$H$2819,0),""),"")</f>
        <v/>
      </c>
      <c r="H601" t="str">
        <f t="shared" si="9"/>
        <v/>
      </c>
    </row>
    <row r="602" spans="1:8" ht="19.95" customHeight="1">
      <c r="A602" s="5" t="str">
        <f>IF($G602="","",INDEX('EDS Lookup'!$D$6:$D$2819,$G602))</f>
        <v/>
      </c>
      <c r="B602" s="5" t="str">
        <f>IF($G602="","",INDEX('EDS Lookup'!$B$6:$B$2819,$G602))</f>
        <v/>
      </c>
      <c r="C602" s="17"/>
      <c r="D602" s="6"/>
      <c r="E602" s="7" t="str">
        <f>IF($G602="","",INDEX('EDS Lookup'!$F$6:$F$2819,$G602))</f>
        <v/>
      </c>
      <c r="F602" s="8" t="str">
        <f>IF($G602="","",INDEX('EDS Lookup'!$G$6:$G$2819,$G602))</f>
        <v/>
      </c>
      <c r="G602" t="str">
        <f>IF(579&lt;=$B$4,IFERROR(MATCH(579,'EDS Lookup'!$H$6:$H$2819,0),""),"")</f>
        <v/>
      </c>
      <c r="H602" t="str">
        <f t="shared" si="9"/>
        <v/>
      </c>
    </row>
    <row r="603" spans="1:8" ht="19.95" customHeight="1">
      <c r="A603" s="5" t="str">
        <f>IF($G603="","",INDEX('EDS Lookup'!$D$6:$D$2819,$G603))</f>
        <v/>
      </c>
      <c r="B603" s="5" t="str">
        <f>IF($G603="","",INDEX('EDS Lookup'!$B$6:$B$2819,$G603))</f>
        <v/>
      </c>
      <c r="C603" s="17"/>
      <c r="D603" s="6"/>
      <c r="E603" s="7" t="str">
        <f>IF($G603="","",INDEX('EDS Lookup'!$F$6:$F$2819,$G603))</f>
        <v/>
      </c>
      <c r="F603" s="8" t="str">
        <f>IF($G603="","",INDEX('EDS Lookup'!$G$6:$G$2819,$G603))</f>
        <v/>
      </c>
      <c r="G603" t="str">
        <f>IF(580&lt;=$B$4,IFERROR(MATCH(580,'EDS Lookup'!$H$6:$H$2819,0),""),"")</f>
        <v/>
      </c>
      <c r="H603" t="str">
        <f t="shared" si="9"/>
        <v/>
      </c>
    </row>
    <row r="604" spans="1:8" ht="19.95" customHeight="1">
      <c r="A604" s="5" t="str">
        <f>IF($G604="","",INDEX('EDS Lookup'!$D$6:$D$2819,$G604))</f>
        <v/>
      </c>
      <c r="B604" s="5" t="str">
        <f>IF($G604="","",INDEX('EDS Lookup'!$B$6:$B$2819,$G604))</f>
        <v/>
      </c>
      <c r="C604" s="17"/>
      <c r="D604" s="6"/>
      <c r="E604" s="7" t="str">
        <f>IF($G604="","",INDEX('EDS Lookup'!$F$6:$F$2819,$G604))</f>
        <v/>
      </c>
      <c r="F604" s="8" t="str">
        <f>IF($G604="","",INDEX('EDS Lookup'!$G$6:$G$2819,$G604))</f>
        <v/>
      </c>
      <c r="G604" t="str">
        <f>IF(581&lt;=$B$4,IFERROR(MATCH(581,'EDS Lookup'!$H$6:$H$2819,0),""),"")</f>
        <v/>
      </c>
      <c r="H604" t="str">
        <f t="shared" si="9"/>
        <v/>
      </c>
    </row>
    <row r="605" spans="1:8" ht="19.95" customHeight="1">
      <c r="A605" s="5" t="str">
        <f>IF($G605="","",INDEX('EDS Lookup'!$D$6:$D$2819,$G605))</f>
        <v/>
      </c>
      <c r="B605" s="5" t="str">
        <f>IF($G605="","",INDEX('EDS Lookup'!$B$6:$B$2819,$G605))</f>
        <v/>
      </c>
      <c r="C605" s="17"/>
      <c r="D605" s="6"/>
      <c r="E605" s="7" t="str">
        <f>IF($G605="","",INDEX('EDS Lookup'!$F$6:$F$2819,$G605))</f>
        <v/>
      </c>
      <c r="F605" s="8" t="str">
        <f>IF($G605="","",INDEX('EDS Lookup'!$G$6:$G$2819,$G605))</f>
        <v/>
      </c>
      <c r="G605" t="str">
        <f>IF(582&lt;=$B$4,IFERROR(MATCH(582,'EDS Lookup'!$H$6:$H$2819,0),""),"")</f>
        <v/>
      </c>
      <c r="H605" t="str">
        <f t="shared" si="9"/>
        <v/>
      </c>
    </row>
    <row r="606" spans="1:8" ht="19.95" customHeight="1">
      <c r="A606" s="5" t="str">
        <f>IF($G606="","",INDEX('EDS Lookup'!$D$6:$D$2819,$G606))</f>
        <v/>
      </c>
      <c r="B606" s="5" t="str">
        <f>IF($G606="","",INDEX('EDS Lookup'!$B$6:$B$2819,$G606))</f>
        <v/>
      </c>
      <c r="C606" s="17"/>
      <c r="D606" s="6"/>
      <c r="E606" s="7" t="str">
        <f>IF($G606="","",INDEX('EDS Lookup'!$F$6:$F$2819,$G606))</f>
        <v/>
      </c>
      <c r="F606" s="8" t="str">
        <f>IF($G606="","",INDEX('EDS Lookup'!$G$6:$G$2819,$G606))</f>
        <v/>
      </c>
      <c r="G606" t="str">
        <f>IF(583&lt;=$B$4,IFERROR(MATCH(583,'EDS Lookup'!$H$6:$H$2819,0),""),"")</f>
        <v/>
      </c>
      <c r="H606" t="str">
        <f t="shared" si="9"/>
        <v/>
      </c>
    </row>
    <row r="607" spans="1:8" ht="19.95" customHeight="1">
      <c r="A607" s="5" t="str">
        <f>IF($G607="","",INDEX('EDS Lookup'!$D$6:$D$2819,$G607))</f>
        <v/>
      </c>
      <c r="B607" s="5" t="str">
        <f>IF($G607="","",INDEX('EDS Lookup'!$B$6:$B$2819,$G607))</f>
        <v/>
      </c>
      <c r="C607" s="17"/>
      <c r="D607" s="6"/>
      <c r="E607" s="7" t="str">
        <f>IF($G607="","",INDEX('EDS Lookup'!$F$6:$F$2819,$G607))</f>
        <v/>
      </c>
      <c r="F607" s="8" t="str">
        <f>IF($G607="","",INDEX('EDS Lookup'!$G$6:$G$2819,$G607))</f>
        <v/>
      </c>
      <c r="G607" t="str">
        <f>IF(584&lt;=$B$4,IFERROR(MATCH(584,'EDS Lookup'!$H$6:$H$2819,0),""),"")</f>
        <v/>
      </c>
      <c r="H607" t="str">
        <f t="shared" si="9"/>
        <v/>
      </c>
    </row>
    <row r="608" spans="1:8" ht="19.95" customHeight="1">
      <c r="A608" s="5" t="str">
        <f>IF($G608="","",INDEX('EDS Lookup'!$D$6:$D$2819,$G608))</f>
        <v/>
      </c>
      <c r="B608" s="5" t="str">
        <f>IF($G608="","",INDEX('EDS Lookup'!$B$6:$B$2819,$G608))</f>
        <v/>
      </c>
      <c r="C608" s="17"/>
      <c r="D608" s="6"/>
      <c r="E608" s="7" t="str">
        <f>IF($G608="","",INDEX('EDS Lookup'!$F$6:$F$2819,$G608))</f>
        <v/>
      </c>
      <c r="F608" s="8" t="str">
        <f>IF($G608="","",INDEX('EDS Lookup'!$G$6:$G$2819,$G608))</f>
        <v/>
      </c>
      <c r="G608" t="str">
        <f>IF(585&lt;=$B$4,IFERROR(MATCH(585,'EDS Lookup'!$H$6:$H$2819,0),""),"")</f>
        <v/>
      </c>
      <c r="H608" t="str">
        <f t="shared" si="9"/>
        <v/>
      </c>
    </row>
    <row r="609" spans="1:8" ht="19.95" customHeight="1">
      <c r="A609" s="5" t="str">
        <f>IF($G609="","",INDEX('EDS Lookup'!$D$6:$D$2819,$G609))</f>
        <v/>
      </c>
      <c r="B609" s="5" t="str">
        <f>IF($G609="","",INDEX('EDS Lookup'!$B$6:$B$2819,$G609))</f>
        <v/>
      </c>
      <c r="C609" s="17"/>
      <c r="D609" s="6"/>
      <c r="E609" s="7" t="str">
        <f>IF($G609="","",INDEX('EDS Lookup'!$F$6:$F$2819,$G609))</f>
        <v/>
      </c>
      <c r="F609" s="8" t="str">
        <f>IF($G609="","",INDEX('EDS Lookup'!$G$6:$G$2819,$G609))</f>
        <v/>
      </c>
      <c r="G609" t="str">
        <f>IF(586&lt;=$B$4,IFERROR(MATCH(586,'EDS Lookup'!$H$6:$H$2819,0),""),"")</f>
        <v/>
      </c>
      <c r="H609" t="str">
        <f t="shared" si="9"/>
        <v/>
      </c>
    </row>
    <row r="610" spans="1:8" ht="19.95" customHeight="1">
      <c r="A610" s="5" t="str">
        <f>IF($G610="","",INDEX('EDS Lookup'!$D$6:$D$2819,$G610))</f>
        <v/>
      </c>
      <c r="B610" s="5" t="str">
        <f>IF($G610="","",INDEX('EDS Lookup'!$B$6:$B$2819,$G610))</f>
        <v/>
      </c>
      <c r="C610" s="17"/>
      <c r="D610" s="6"/>
      <c r="E610" s="7" t="str">
        <f>IF($G610="","",INDEX('EDS Lookup'!$F$6:$F$2819,$G610))</f>
        <v/>
      </c>
      <c r="F610" s="8" t="str">
        <f>IF($G610="","",INDEX('EDS Lookup'!$G$6:$G$2819,$G610))</f>
        <v/>
      </c>
      <c r="G610" t="str">
        <f>IF(587&lt;=$B$4,IFERROR(MATCH(587,'EDS Lookup'!$H$6:$H$2819,0),""),"")</f>
        <v/>
      </c>
      <c r="H610" t="str">
        <f t="shared" si="9"/>
        <v/>
      </c>
    </row>
    <row r="611" spans="1:8" ht="19.95" customHeight="1">
      <c r="A611" s="5" t="str">
        <f>IF($G611="","",INDEX('EDS Lookup'!$D$6:$D$2819,$G611))</f>
        <v/>
      </c>
      <c r="B611" s="5" t="str">
        <f>IF($G611="","",INDEX('EDS Lookup'!$B$6:$B$2819,$G611))</f>
        <v/>
      </c>
      <c r="C611" s="17"/>
      <c r="D611" s="6"/>
      <c r="E611" s="7" t="str">
        <f>IF($G611="","",INDEX('EDS Lookup'!$F$6:$F$2819,$G611))</f>
        <v/>
      </c>
      <c r="F611" s="8" t="str">
        <f>IF($G611="","",INDEX('EDS Lookup'!$G$6:$G$2819,$G611))</f>
        <v/>
      </c>
      <c r="G611" t="str">
        <f>IF(588&lt;=$B$4,IFERROR(MATCH(588,'EDS Lookup'!$H$6:$H$2819,0),""),"")</f>
        <v/>
      </c>
      <c r="H611" t="str">
        <f t="shared" si="9"/>
        <v/>
      </c>
    </row>
    <row r="612" spans="1:8" ht="19.95" customHeight="1">
      <c r="A612" s="5" t="str">
        <f>IF($G612="","",INDEX('EDS Lookup'!$D$6:$D$2819,$G612))</f>
        <v/>
      </c>
      <c r="B612" s="5" t="str">
        <f>IF($G612="","",INDEX('EDS Lookup'!$B$6:$B$2819,$G612))</f>
        <v/>
      </c>
      <c r="C612" s="17"/>
      <c r="D612" s="6"/>
      <c r="E612" s="7" t="str">
        <f>IF($G612="","",INDEX('EDS Lookup'!$F$6:$F$2819,$G612))</f>
        <v/>
      </c>
      <c r="F612" s="8" t="str">
        <f>IF($G612="","",INDEX('EDS Lookup'!$G$6:$G$2819,$G612))</f>
        <v/>
      </c>
      <c r="G612" t="str">
        <f>IF(589&lt;=$B$4,IFERROR(MATCH(589,'EDS Lookup'!$H$6:$H$2819,0),""),"")</f>
        <v/>
      </c>
      <c r="H612" t="str">
        <f t="shared" si="9"/>
        <v/>
      </c>
    </row>
    <row r="613" spans="1:8" ht="19.95" customHeight="1">
      <c r="A613" s="5" t="str">
        <f>IF($G613="","",INDEX('EDS Lookup'!$D$6:$D$2819,$G613))</f>
        <v/>
      </c>
      <c r="B613" s="5" t="str">
        <f>IF($G613="","",INDEX('EDS Lookup'!$B$6:$B$2819,$G613))</f>
        <v/>
      </c>
      <c r="C613" s="17"/>
      <c r="D613" s="6"/>
      <c r="E613" s="7" t="str">
        <f>IF($G613="","",INDEX('EDS Lookup'!$F$6:$F$2819,$G613))</f>
        <v/>
      </c>
      <c r="F613" s="8" t="str">
        <f>IF($G613="","",INDEX('EDS Lookup'!$G$6:$G$2819,$G613))</f>
        <v/>
      </c>
      <c r="G613" t="str">
        <f>IF(590&lt;=$B$4,IFERROR(MATCH(590,'EDS Lookup'!$H$6:$H$2819,0),""),"")</f>
        <v/>
      </c>
      <c r="H613" t="str">
        <f t="shared" si="9"/>
        <v/>
      </c>
    </row>
    <row r="614" spans="1:8" ht="19.95" customHeight="1">
      <c r="A614" s="5" t="str">
        <f>IF($G614="","",INDEX('EDS Lookup'!$D$6:$D$2819,$G614))</f>
        <v/>
      </c>
      <c r="B614" s="5" t="str">
        <f>IF($G614="","",INDEX('EDS Lookup'!$B$6:$B$2819,$G614))</f>
        <v/>
      </c>
      <c r="C614" s="17"/>
      <c r="D614" s="6"/>
      <c r="E614" s="7" t="str">
        <f>IF($G614="","",INDEX('EDS Lookup'!$F$6:$F$2819,$G614))</f>
        <v/>
      </c>
      <c r="F614" s="8" t="str">
        <f>IF($G614="","",INDEX('EDS Lookup'!$G$6:$G$2819,$G614))</f>
        <v/>
      </c>
      <c r="G614" t="str">
        <f>IF(591&lt;=$B$4,IFERROR(MATCH(591,'EDS Lookup'!$H$6:$H$2819,0),""),"")</f>
        <v/>
      </c>
      <c r="H614" t="str">
        <f t="shared" si="9"/>
        <v/>
      </c>
    </row>
    <row r="615" spans="1:8" ht="19.95" customHeight="1">
      <c r="A615" s="5" t="str">
        <f>IF($G615="","",INDEX('EDS Lookup'!$D$6:$D$2819,$G615))</f>
        <v/>
      </c>
      <c r="B615" s="5" t="str">
        <f>IF($G615="","",INDEX('EDS Lookup'!$B$6:$B$2819,$G615))</f>
        <v/>
      </c>
      <c r="C615" s="17"/>
      <c r="D615" s="6"/>
      <c r="E615" s="7" t="str">
        <f>IF($G615="","",INDEX('EDS Lookup'!$F$6:$F$2819,$G615))</f>
        <v/>
      </c>
      <c r="F615" s="8" t="str">
        <f>IF($G615="","",INDEX('EDS Lookup'!$G$6:$G$2819,$G615))</f>
        <v/>
      </c>
      <c r="G615" t="str">
        <f>IF(592&lt;=$B$4,IFERROR(MATCH(592,'EDS Lookup'!$H$6:$H$2819,0),""),"")</f>
        <v/>
      </c>
      <c r="H615" t="str">
        <f t="shared" si="9"/>
        <v/>
      </c>
    </row>
    <row r="616" spans="1:8" ht="19.95" customHeight="1">
      <c r="A616" s="5" t="str">
        <f>IF($G616="","",INDEX('EDS Lookup'!$D$6:$D$2819,$G616))</f>
        <v/>
      </c>
      <c r="B616" s="5" t="str">
        <f>IF($G616="","",INDEX('EDS Lookup'!$B$6:$B$2819,$G616))</f>
        <v/>
      </c>
      <c r="C616" s="17"/>
      <c r="D616" s="6"/>
      <c r="E616" s="7" t="str">
        <f>IF($G616="","",INDEX('EDS Lookup'!$F$6:$F$2819,$G616))</f>
        <v/>
      </c>
      <c r="F616" s="8" t="str">
        <f>IF($G616="","",INDEX('EDS Lookup'!$G$6:$G$2819,$G616))</f>
        <v/>
      </c>
      <c r="G616" t="str">
        <f>IF(593&lt;=$B$4,IFERROR(MATCH(593,'EDS Lookup'!$H$6:$H$2819,0),""),"")</f>
        <v/>
      </c>
      <c r="H616" t="str">
        <f t="shared" si="9"/>
        <v/>
      </c>
    </row>
    <row r="617" spans="1:8" ht="19.95" customHeight="1">
      <c r="A617" s="5" t="str">
        <f>IF($G617="","",INDEX('EDS Lookup'!$D$6:$D$2819,$G617))</f>
        <v/>
      </c>
      <c r="B617" s="5" t="str">
        <f>IF($G617="","",INDEX('EDS Lookup'!$B$6:$B$2819,$G617))</f>
        <v/>
      </c>
      <c r="C617" s="17"/>
      <c r="D617" s="6"/>
      <c r="E617" s="7" t="str">
        <f>IF($G617="","",INDEX('EDS Lookup'!$F$6:$F$2819,$G617))</f>
        <v/>
      </c>
      <c r="F617" s="8" t="str">
        <f>IF($G617="","",INDEX('EDS Lookup'!$G$6:$G$2819,$G617))</f>
        <v/>
      </c>
      <c r="G617" t="str">
        <f>IF(594&lt;=$B$4,IFERROR(MATCH(594,'EDS Lookup'!$H$6:$H$2819,0),""),"")</f>
        <v/>
      </c>
      <c r="H617" t="str">
        <f t="shared" si="9"/>
        <v/>
      </c>
    </row>
    <row r="618" spans="1:8" ht="19.95" customHeight="1">
      <c r="A618" s="5" t="str">
        <f>IF($G618="","",INDEX('EDS Lookup'!$D$6:$D$2819,$G618))</f>
        <v/>
      </c>
      <c r="B618" s="5" t="str">
        <f>IF($G618="","",INDEX('EDS Lookup'!$B$6:$B$2819,$G618))</f>
        <v/>
      </c>
      <c r="C618" s="17"/>
      <c r="D618" s="6"/>
      <c r="E618" s="7" t="str">
        <f>IF($G618="","",INDEX('EDS Lookup'!$F$6:$F$2819,$G618))</f>
        <v/>
      </c>
      <c r="F618" s="8" t="str">
        <f>IF($G618="","",INDEX('EDS Lookup'!$G$6:$G$2819,$G618))</f>
        <v/>
      </c>
      <c r="G618" t="str">
        <f>IF(595&lt;=$B$4,IFERROR(MATCH(595,'EDS Lookup'!$H$6:$H$2819,0),""),"")</f>
        <v/>
      </c>
      <c r="H618" t="str">
        <f t="shared" si="9"/>
        <v/>
      </c>
    </row>
    <row r="619" spans="1:8" ht="19.95" customHeight="1">
      <c r="A619" s="5" t="str">
        <f>IF($G619="","",INDEX('EDS Lookup'!$D$6:$D$2819,$G619))</f>
        <v/>
      </c>
      <c r="B619" s="5" t="str">
        <f>IF($G619="","",INDEX('EDS Lookup'!$B$6:$B$2819,$G619))</f>
        <v/>
      </c>
      <c r="C619" s="17"/>
      <c r="D619" s="6"/>
      <c r="E619" s="7" t="str">
        <f>IF($G619="","",INDEX('EDS Lookup'!$F$6:$F$2819,$G619))</f>
        <v/>
      </c>
      <c r="F619" s="8" t="str">
        <f>IF($G619="","",INDEX('EDS Lookup'!$G$6:$G$2819,$G619))</f>
        <v/>
      </c>
      <c r="G619" t="str">
        <f>IF(596&lt;=$B$4,IFERROR(MATCH(596,'EDS Lookup'!$H$6:$H$2819,0),""),"")</f>
        <v/>
      </c>
      <c r="H619" t="str">
        <f t="shared" si="9"/>
        <v/>
      </c>
    </row>
    <row r="620" spans="1:8" ht="19.95" customHeight="1">
      <c r="A620" s="5" t="str">
        <f>IF($G620="","",INDEX('EDS Lookup'!$D$6:$D$2819,$G620))</f>
        <v/>
      </c>
      <c r="B620" s="5" t="str">
        <f>IF($G620="","",INDEX('EDS Lookup'!$B$6:$B$2819,$G620))</f>
        <v/>
      </c>
      <c r="C620" s="17"/>
      <c r="D620" s="6"/>
      <c r="E620" s="7" t="str">
        <f>IF($G620="","",INDEX('EDS Lookup'!$F$6:$F$2819,$G620))</f>
        <v/>
      </c>
      <c r="F620" s="8" t="str">
        <f>IF($G620="","",INDEX('EDS Lookup'!$G$6:$G$2819,$G620))</f>
        <v/>
      </c>
      <c r="G620" t="str">
        <f>IF(597&lt;=$B$4,IFERROR(MATCH(597,'EDS Lookup'!$H$6:$H$2819,0),""),"")</f>
        <v/>
      </c>
      <c r="H620" t="str">
        <f t="shared" si="9"/>
        <v/>
      </c>
    </row>
    <row r="621" spans="1:8" ht="19.95" customHeight="1">
      <c r="A621" s="5" t="str">
        <f>IF($G621="","",INDEX('EDS Lookup'!$D$6:$D$2819,$G621))</f>
        <v/>
      </c>
      <c r="B621" s="5" t="str">
        <f>IF($G621="","",INDEX('EDS Lookup'!$B$6:$B$2819,$G621))</f>
        <v/>
      </c>
      <c r="C621" s="17"/>
      <c r="D621" s="6"/>
      <c r="E621" s="7" t="str">
        <f>IF($G621="","",INDEX('EDS Lookup'!$F$6:$F$2819,$G621))</f>
        <v/>
      </c>
      <c r="F621" s="8" t="str">
        <f>IF($G621="","",INDEX('EDS Lookup'!$G$6:$G$2819,$G621))</f>
        <v/>
      </c>
      <c r="G621" t="str">
        <f>IF(598&lt;=$B$4,IFERROR(MATCH(598,'EDS Lookup'!$H$6:$H$2819,0),""),"")</f>
        <v/>
      </c>
      <c r="H621" t="str">
        <f t="shared" si="9"/>
        <v/>
      </c>
    </row>
    <row r="622" spans="1:8" ht="19.95" customHeight="1">
      <c r="A622" s="5" t="str">
        <f>IF($G622="","",INDEX('EDS Lookup'!$D$6:$D$2819,$G622))</f>
        <v/>
      </c>
      <c r="B622" s="5" t="str">
        <f>IF($G622="","",INDEX('EDS Lookup'!$B$6:$B$2819,$G622))</f>
        <v/>
      </c>
      <c r="C622" s="17"/>
      <c r="D622" s="6"/>
      <c r="E622" s="7" t="str">
        <f>IF($G622="","",INDEX('EDS Lookup'!$F$6:$F$2819,$G622))</f>
        <v/>
      </c>
      <c r="F622" s="8" t="str">
        <f>IF($G622="","",INDEX('EDS Lookup'!$G$6:$G$2819,$G622))</f>
        <v/>
      </c>
      <c r="G622" t="str">
        <f>IF(599&lt;=$B$4,IFERROR(MATCH(599,'EDS Lookup'!$H$6:$H$2819,0),""),"")</f>
        <v/>
      </c>
      <c r="H622" t="str">
        <f t="shared" si="9"/>
        <v/>
      </c>
    </row>
    <row r="623" spans="1:8" ht="19.95" customHeight="1">
      <c r="A623" s="5" t="str">
        <f>IF($G623="","",INDEX('EDS Lookup'!$D$6:$D$2819,$G623))</f>
        <v/>
      </c>
      <c r="B623" s="5" t="str">
        <f>IF($G623="","",INDEX('EDS Lookup'!$B$6:$B$2819,$G623))</f>
        <v/>
      </c>
      <c r="C623" s="17"/>
      <c r="D623" s="6"/>
      <c r="E623" s="7" t="str">
        <f>IF($G623="","",INDEX('EDS Lookup'!$F$6:$F$2819,$G623))</f>
        <v/>
      </c>
      <c r="F623" s="8" t="str">
        <f>IF($G623="","",INDEX('EDS Lookup'!$G$6:$G$2819,$G623))</f>
        <v/>
      </c>
      <c r="G623" t="str">
        <f>IF(600&lt;=$B$4,IFERROR(MATCH(600,'EDS Lookup'!$H$6:$H$2819,0),""),"")</f>
        <v/>
      </c>
      <c r="H623" t="str">
        <f t="shared" si="9"/>
        <v/>
      </c>
    </row>
    <row r="624" spans="1:8" ht="19.95" customHeight="1">
      <c r="A624" s="5" t="str">
        <f>IF($G624="","",INDEX('EDS Lookup'!$D$6:$D$2819,$G624))</f>
        <v/>
      </c>
      <c r="B624" s="5" t="str">
        <f>IF($G624="","",INDEX('EDS Lookup'!$B$6:$B$2819,$G624))</f>
        <v/>
      </c>
      <c r="C624" s="17"/>
      <c r="D624" s="6"/>
      <c r="E624" s="7" t="str">
        <f>IF($G624="","",INDEX('EDS Lookup'!$F$6:$F$2819,$G624))</f>
        <v/>
      </c>
      <c r="F624" s="8" t="str">
        <f>IF($G624="","",INDEX('EDS Lookup'!$G$6:$G$2819,$G624))</f>
        <v/>
      </c>
      <c r="G624" t="str">
        <f>IF(601&lt;=$B$4,IFERROR(MATCH(601,'EDS Lookup'!$H$6:$H$2819,0),""),"")</f>
        <v/>
      </c>
      <c r="H624" t="str">
        <f t="shared" si="9"/>
        <v/>
      </c>
    </row>
    <row r="625" spans="1:8" ht="19.95" customHeight="1">
      <c r="A625" s="5" t="str">
        <f>IF($G625="","",INDEX('EDS Lookup'!$D$6:$D$2819,$G625))</f>
        <v/>
      </c>
      <c r="B625" s="5" t="str">
        <f>IF($G625="","",INDEX('EDS Lookup'!$B$6:$B$2819,$G625))</f>
        <v/>
      </c>
      <c r="C625" s="17"/>
      <c r="D625" s="6"/>
      <c r="E625" s="7" t="str">
        <f>IF($G625="","",INDEX('EDS Lookup'!$F$6:$F$2819,$G625))</f>
        <v/>
      </c>
      <c r="F625" s="8" t="str">
        <f>IF($G625="","",INDEX('EDS Lookup'!$G$6:$G$2819,$G625))</f>
        <v/>
      </c>
      <c r="G625" t="str">
        <f>IF(602&lt;=$B$4,IFERROR(MATCH(602,'EDS Lookup'!$H$6:$H$2819,0),""),"")</f>
        <v/>
      </c>
      <c r="H625" t="str">
        <f t="shared" si="9"/>
        <v/>
      </c>
    </row>
    <row r="626" spans="1:8" ht="19.95" customHeight="1">
      <c r="A626" s="5" t="str">
        <f>IF($G626="","",INDEX('EDS Lookup'!$D$6:$D$2819,$G626))</f>
        <v/>
      </c>
      <c r="B626" s="5" t="str">
        <f>IF($G626="","",INDEX('EDS Lookup'!$B$6:$B$2819,$G626))</f>
        <v/>
      </c>
      <c r="C626" s="17"/>
      <c r="D626" s="6"/>
      <c r="E626" s="7" t="str">
        <f>IF($G626="","",INDEX('EDS Lookup'!$F$6:$F$2819,$G626))</f>
        <v/>
      </c>
      <c r="F626" s="8" t="str">
        <f>IF($G626="","",INDEX('EDS Lookup'!$G$6:$G$2819,$G626))</f>
        <v/>
      </c>
      <c r="G626" t="str">
        <f>IF(603&lt;=$B$4,IFERROR(MATCH(603,'EDS Lookup'!$H$6:$H$2819,0),""),"")</f>
        <v/>
      </c>
      <c r="H626" t="str">
        <f t="shared" si="9"/>
        <v/>
      </c>
    </row>
    <row r="627" spans="1:8" ht="19.95" customHeight="1">
      <c r="A627" s="5" t="str">
        <f>IF($G627="","",INDEX('EDS Lookup'!$D$6:$D$2819,$G627))</f>
        <v/>
      </c>
      <c r="B627" s="5" t="str">
        <f>IF($G627="","",INDEX('EDS Lookup'!$B$6:$B$2819,$G627))</f>
        <v/>
      </c>
      <c r="C627" s="17"/>
      <c r="D627" s="6"/>
      <c r="E627" s="7" t="str">
        <f>IF($G627="","",INDEX('EDS Lookup'!$F$6:$F$2819,$G627))</f>
        <v/>
      </c>
      <c r="F627" s="8" t="str">
        <f>IF($G627="","",INDEX('EDS Lookup'!$G$6:$G$2819,$G627))</f>
        <v/>
      </c>
      <c r="G627" t="str">
        <f>IF(604&lt;=$B$4,IFERROR(MATCH(604,'EDS Lookup'!$H$6:$H$2819,0),""),"")</f>
        <v/>
      </c>
      <c r="H627" t="str">
        <f t="shared" si="9"/>
        <v/>
      </c>
    </row>
    <row r="628" spans="1:8" ht="19.95" customHeight="1">
      <c r="A628" s="5" t="str">
        <f>IF($G628="","",INDEX('EDS Lookup'!$D$6:$D$2819,$G628))</f>
        <v/>
      </c>
      <c r="B628" s="5" t="str">
        <f>IF($G628="","",INDEX('EDS Lookup'!$B$6:$B$2819,$G628))</f>
        <v/>
      </c>
      <c r="C628" s="17"/>
      <c r="D628" s="6"/>
      <c r="E628" s="7" t="str">
        <f>IF($G628="","",INDEX('EDS Lookup'!$F$6:$F$2819,$G628))</f>
        <v/>
      </c>
      <c r="F628" s="8" t="str">
        <f>IF($G628="","",INDEX('EDS Lookup'!$G$6:$G$2819,$G628))</f>
        <v/>
      </c>
      <c r="G628" t="str">
        <f>IF(605&lt;=$B$4,IFERROR(MATCH(605,'EDS Lookup'!$H$6:$H$2819,0),""),"")</f>
        <v/>
      </c>
      <c r="H628" t="str">
        <f t="shared" si="9"/>
        <v/>
      </c>
    </row>
    <row r="629" spans="1:8" ht="19.95" customHeight="1">
      <c r="A629" s="5" t="str">
        <f>IF($G629="","",INDEX('EDS Lookup'!$D$6:$D$2819,$G629))</f>
        <v/>
      </c>
      <c r="B629" s="5" t="str">
        <f>IF($G629="","",INDEX('EDS Lookup'!$B$6:$B$2819,$G629))</f>
        <v/>
      </c>
      <c r="C629" s="17"/>
      <c r="D629" s="6"/>
      <c r="E629" s="7" t="str">
        <f>IF($G629="","",INDEX('EDS Lookup'!$F$6:$F$2819,$G629))</f>
        <v/>
      </c>
      <c r="F629" s="8" t="str">
        <f>IF($G629="","",INDEX('EDS Lookup'!$G$6:$G$2819,$G629))</f>
        <v/>
      </c>
      <c r="G629" t="str">
        <f>IF(606&lt;=$B$4,IFERROR(MATCH(606,'EDS Lookup'!$H$6:$H$2819,0),""),"")</f>
        <v/>
      </c>
      <c r="H629" t="str">
        <f t="shared" si="9"/>
        <v/>
      </c>
    </row>
    <row r="630" spans="1:8" ht="19.95" customHeight="1">
      <c r="A630" s="5" t="str">
        <f>IF($G630="","",INDEX('EDS Lookup'!$D$6:$D$2819,$G630))</f>
        <v/>
      </c>
      <c r="B630" s="5" t="str">
        <f>IF($G630="","",INDEX('EDS Lookup'!$B$6:$B$2819,$G630))</f>
        <v/>
      </c>
      <c r="C630" s="17"/>
      <c r="D630" s="6"/>
      <c r="E630" s="7" t="str">
        <f>IF($G630="","",INDEX('EDS Lookup'!$F$6:$F$2819,$G630))</f>
        <v/>
      </c>
      <c r="F630" s="8" t="str">
        <f>IF($G630="","",INDEX('EDS Lookup'!$G$6:$G$2819,$G630))</f>
        <v/>
      </c>
      <c r="G630" t="str">
        <f>IF(607&lt;=$B$4,IFERROR(MATCH(607,'EDS Lookup'!$H$6:$H$2819,0),""),"")</f>
        <v/>
      </c>
      <c r="H630" t="str">
        <f t="shared" si="9"/>
        <v/>
      </c>
    </row>
    <row r="631" spans="1:8" ht="19.95" customHeight="1">
      <c r="A631" s="5" t="str">
        <f>IF($G631="","",INDEX('EDS Lookup'!$D$6:$D$2819,$G631))</f>
        <v/>
      </c>
      <c r="B631" s="5" t="str">
        <f>IF($G631="","",INDEX('EDS Lookup'!$B$6:$B$2819,$G631))</f>
        <v/>
      </c>
      <c r="C631" s="17"/>
      <c r="D631" s="6"/>
      <c r="E631" s="7" t="str">
        <f>IF($G631="","",INDEX('EDS Lookup'!$F$6:$F$2819,$G631))</f>
        <v/>
      </c>
      <c r="F631" s="8" t="str">
        <f>IF($G631="","",INDEX('EDS Lookup'!$G$6:$G$2819,$G631))</f>
        <v/>
      </c>
      <c r="G631" t="str">
        <f>IF(608&lt;=$B$4,IFERROR(MATCH(608,'EDS Lookup'!$H$6:$H$2819,0),""),"")</f>
        <v/>
      </c>
      <c r="H631" t="str">
        <f t="shared" si="9"/>
        <v/>
      </c>
    </row>
    <row r="632" spans="1:8" ht="19.95" customHeight="1">
      <c r="A632" s="5" t="str">
        <f>IF($G632="","",INDEX('EDS Lookup'!$D$6:$D$2819,$G632))</f>
        <v/>
      </c>
      <c r="B632" s="5" t="str">
        <f>IF($G632="","",INDEX('EDS Lookup'!$B$6:$B$2819,$G632))</f>
        <v/>
      </c>
      <c r="C632" s="17"/>
      <c r="D632" s="6"/>
      <c r="E632" s="7" t="str">
        <f>IF($G632="","",INDEX('EDS Lookup'!$F$6:$F$2819,$G632))</f>
        <v/>
      </c>
      <c r="F632" s="8" t="str">
        <f>IF($G632="","",INDEX('EDS Lookup'!$G$6:$G$2819,$G632))</f>
        <v/>
      </c>
      <c r="G632" t="str">
        <f>IF(609&lt;=$B$4,IFERROR(MATCH(609,'EDS Lookup'!$H$6:$H$2819,0),""),"")</f>
        <v/>
      </c>
      <c r="H632" t="str">
        <f t="shared" si="9"/>
        <v/>
      </c>
    </row>
    <row r="633" spans="1:8" ht="19.95" customHeight="1">
      <c r="A633" s="5" t="str">
        <f>IF($G633="","",INDEX('EDS Lookup'!$D$6:$D$2819,$G633))</f>
        <v/>
      </c>
      <c r="B633" s="5" t="str">
        <f>IF($G633="","",INDEX('EDS Lookup'!$B$6:$B$2819,$G633))</f>
        <v/>
      </c>
      <c r="C633" s="17"/>
      <c r="D633" s="6"/>
      <c r="E633" s="7" t="str">
        <f>IF($G633="","",INDEX('EDS Lookup'!$F$6:$F$2819,$G633))</f>
        <v/>
      </c>
      <c r="F633" s="8" t="str">
        <f>IF($G633="","",INDEX('EDS Lookup'!$G$6:$G$2819,$G633))</f>
        <v/>
      </c>
      <c r="G633" t="str">
        <f>IF(610&lt;=$B$4,IFERROR(MATCH(610,'EDS Lookup'!$H$6:$H$2819,0),""),"")</f>
        <v/>
      </c>
      <c r="H633" t="str">
        <f t="shared" si="9"/>
        <v/>
      </c>
    </row>
    <row r="634" spans="1:8" ht="19.95" customHeight="1">
      <c r="A634" s="5" t="str">
        <f>IF($G634="","",INDEX('EDS Lookup'!$D$6:$D$2819,$G634))</f>
        <v/>
      </c>
      <c r="B634" s="5" t="str">
        <f>IF($G634="","",INDEX('EDS Lookup'!$B$6:$B$2819,$G634))</f>
        <v/>
      </c>
      <c r="C634" s="17"/>
      <c r="D634" s="6"/>
      <c r="E634" s="7" t="str">
        <f>IF($G634="","",INDEX('EDS Lookup'!$F$6:$F$2819,$G634))</f>
        <v/>
      </c>
      <c r="F634" s="8" t="str">
        <f>IF($G634="","",INDEX('EDS Lookup'!$G$6:$G$2819,$G634))</f>
        <v/>
      </c>
      <c r="G634" t="str">
        <f>IF(611&lt;=$B$4,IFERROR(MATCH(611,'EDS Lookup'!$H$6:$H$2819,0),""),"")</f>
        <v/>
      </c>
      <c r="H634" t="str">
        <f t="shared" si="9"/>
        <v/>
      </c>
    </row>
    <row r="635" spans="1:8" ht="19.95" customHeight="1">
      <c r="A635" s="5" t="str">
        <f>IF($G635="","",INDEX('EDS Lookup'!$D$6:$D$2819,$G635))</f>
        <v/>
      </c>
      <c r="B635" s="5" t="str">
        <f>IF($G635="","",INDEX('EDS Lookup'!$B$6:$B$2819,$G635))</f>
        <v/>
      </c>
      <c r="C635" s="17"/>
      <c r="D635" s="6"/>
      <c r="E635" s="7" t="str">
        <f>IF($G635="","",INDEX('EDS Lookup'!$F$6:$F$2819,$G635))</f>
        <v/>
      </c>
      <c r="F635" s="8" t="str">
        <f>IF($G635="","",INDEX('EDS Lookup'!$G$6:$G$2819,$G635))</f>
        <v/>
      </c>
      <c r="G635" t="str">
        <f>IF(612&lt;=$B$4,IFERROR(MATCH(612,'EDS Lookup'!$H$6:$H$2819,0),""),"")</f>
        <v/>
      </c>
      <c r="H635" t="str">
        <f t="shared" si="9"/>
        <v/>
      </c>
    </row>
    <row r="636" spans="1:8" ht="19.95" customHeight="1">
      <c r="A636" s="5" t="str">
        <f>IF($G636="","",INDEX('EDS Lookup'!$D$6:$D$2819,$G636))</f>
        <v/>
      </c>
      <c r="B636" s="5" t="str">
        <f>IF($G636="","",INDEX('EDS Lookup'!$B$6:$B$2819,$G636))</f>
        <v/>
      </c>
      <c r="C636" s="17"/>
      <c r="D636" s="6"/>
      <c r="E636" s="7" t="str">
        <f>IF($G636="","",INDEX('EDS Lookup'!$F$6:$F$2819,$G636))</f>
        <v/>
      </c>
      <c r="F636" s="8" t="str">
        <f>IF($G636="","",INDEX('EDS Lookup'!$G$6:$G$2819,$G636))</f>
        <v/>
      </c>
      <c r="G636" t="str">
        <f>IF(613&lt;=$B$4,IFERROR(MATCH(613,'EDS Lookup'!$H$6:$H$2819,0),""),"")</f>
        <v/>
      </c>
      <c r="H636" t="str">
        <f t="shared" si="9"/>
        <v/>
      </c>
    </row>
    <row r="637" spans="1:8" ht="19.95" customHeight="1">
      <c r="A637" s="5" t="str">
        <f>IF($G637="","",INDEX('EDS Lookup'!$D$6:$D$2819,$G637))</f>
        <v/>
      </c>
      <c r="B637" s="5" t="str">
        <f>IF($G637="","",INDEX('EDS Lookup'!$B$6:$B$2819,$G637))</f>
        <v/>
      </c>
      <c r="C637" s="17"/>
      <c r="D637" s="6"/>
      <c r="E637" s="7" t="str">
        <f>IF($G637="","",INDEX('EDS Lookup'!$F$6:$F$2819,$G637))</f>
        <v/>
      </c>
      <c r="F637" s="8" t="str">
        <f>IF($G637="","",INDEX('EDS Lookup'!$G$6:$G$2819,$G637))</f>
        <v/>
      </c>
      <c r="G637" t="str">
        <f>IF(614&lt;=$B$4,IFERROR(MATCH(614,'EDS Lookup'!$H$6:$H$2819,0),""),"")</f>
        <v/>
      </c>
      <c r="H637" t="str">
        <f t="shared" si="9"/>
        <v/>
      </c>
    </row>
    <row r="638" spans="1:8" ht="19.95" customHeight="1">
      <c r="A638" s="5" t="str">
        <f>IF($G638="","",INDEX('EDS Lookup'!$D$6:$D$2819,$G638))</f>
        <v/>
      </c>
      <c r="B638" s="5" t="str">
        <f>IF($G638="","",INDEX('EDS Lookup'!$B$6:$B$2819,$G638))</f>
        <v/>
      </c>
      <c r="C638" s="17"/>
      <c r="D638" s="6"/>
      <c r="E638" s="7" t="str">
        <f>IF($G638="","",INDEX('EDS Lookup'!$F$6:$F$2819,$G638))</f>
        <v/>
      </c>
      <c r="F638" s="8" t="str">
        <f>IF($G638="","",INDEX('EDS Lookup'!$G$6:$G$2819,$G638))</f>
        <v/>
      </c>
      <c r="G638" t="str">
        <f>IF(615&lt;=$B$4,IFERROR(MATCH(615,'EDS Lookup'!$H$6:$H$2819,0),""),"")</f>
        <v/>
      </c>
      <c r="H638" t="str">
        <f t="shared" si="9"/>
        <v/>
      </c>
    </row>
    <row r="639" spans="1:8" ht="19.95" customHeight="1">
      <c r="A639" s="5" t="str">
        <f>IF($G639="","",INDEX('EDS Lookup'!$D$6:$D$2819,$G639))</f>
        <v/>
      </c>
      <c r="B639" s="5" t="str">
        <f>IF($G639="","",INDEX('EDS Lookup'!$B$6:$B$2819,$G639))</f>
        <v/>
      </c>
      <c r="C639" s="17"/>
      <c r="D639" s="6"/>
      <c r="E639" s="7" t="str">
        <f>IF($G639="","",INDEX('EDS Lookup'!$F$6:$F$2819,$G639))</f>
        <v/>
      </c>
      <c r="F639" s="8" t="str">
        <f>IF($G639="","",INDEX('EDS Lookup'!$G$6:$G$2819,$G639))</f>
        <v/>
      </c>
      <c r="G639" t="str">
        <f>IF(616&lt;=$B$4,IFERROR(MATCH(616,'EDS Lookup'!$H$6:$H$2819,0),""),"")</f>
        <v/>
      </c>
      <c r="H639" t="str">
        <f t="shared" si="9"/>
        <v/>
      </c>
    </row>
    <row r="640" spans="1:8" ht="19.95" customHeight="1">
      <c r="A640" s="5" t="str">
        <f>IF($G640="","",INDEX('EDS Lookup'!$D$6:$D$2819,$G640))</f>
        <v/>
      </c>
      <c r="B640" s="5" t="str">
        <f>IF($G640="","",INDEX('EDS Lookup'!$B$6:$B$2819,$G640))</f>
        <v/>
      </c>
      <c r="C640" s="17"/>
      <c r="D640" s="6"/>
      <c r="E640" s="7" t="str">
        <f>IF($G640="","",INDEX('EDS Lookup'!$F$6:$F$2819,$G640))</f>
        <v/>
      </c>
      <c r="F640" s="8" t="str">
        <f>IF($G640="","",INDEX('EDS Lookup'!$G$6:$G$2819,$G640))</f>
        <v/>
      </c>
      <c r="G640" t="str">
        <f>IF(617&lt;=$B$4,IFERROR(MATCH(617,'EDS Lookup'!$H$6:$H$2819,0),""),"")</f>
        <v/>
      </c>
      <c r="H640" t="str">
        <f t="shared" si="9"/>
        <v/>
      </c>
    </row>
    <row r="641" spans="1:8" ht="19.95" customHeight="1">
      <c r="A641" s="5" t="str">
        <f>IF($G641="","",INDEX('EDS Lookup'!$D$6:$D$2819,$G641))</f>
        <v/>
      </c>
      <c r="B641" s="5" t="str">
        <f>IF($G641="","",INDEX('EDS Lookup'!$B$6:$B$2819,$G641))</f>
        <v/>
      </c>
      <c r="C641" s="17"/>
      <c r="D641" s="6"/>
      <c r="E641" s="7" t="str">
        <f>IF($G641="","",INDEX('EDS Lookup'!$F$6:$F$2819,$G641))</f>
        <v/>
      </c>
      <c r="F641" s="8" t="str">
        <f>IF($G641="","",INDEX('EDS Lookup'!$G$6:$G$2819,$G641))</f>
        <v/>
      </c>
      <c r="G641" t="str">
        <f>IF(618&lt;=$B$4,IFERROR(MATCH(618,'EDS Lookup'!$H$6:$H$2819,0),""),"")</f>
        <v/>
      </c>
      <c r="H641" t="str">
        <f t="shared" si="9"/>
        <v/>
      </c>
    </row>
    <row r="642" spans="1:8" ht="19.95" customHeight="1">
      <c r="A642" s="5" t="str">
        <f>IF($G642="","",INDEX('EDS Lookup'!$D$6:$D$2819,$G642))</f>
        <v/>
      </c>
      <c r="B642" s="5" t="str">
        <f>IF($G642="","",INDEX('EDS Lookup'!$B$6:$B$2819,$G642))</f>
        <v/>
      </c>
      <c r="C642" s="17"/>
      <c r="D642" s="6"/>
      <c r="E642" s="7" t="str">
        <f>IF($G642="","",INDEX('EDS Lookup'!$F$6:$F$2819,$G642))</f>
        <v/>
      </c>
      <c r="F642" s="8" t="str">
        <f>IF($G642="","",INDEX('EDS Lookup'!$G$6:$G$2819,$G642))</f>
        <v/>
      </c>
      <c r="G642" t="str">
        <f>IF(619&lt;=$B$4,IFERROR(MATCH(619,'EDS Lookup'!$H$6:$H$2819,0),""),"")</f>
        <v/>
      </c>
      <c r="H642" t="str">
        <f t="shared" si="9"/>
        <v/>
      </c>
    </row>
    <row r="643" spans="1:8" ht="19.95" customHeight="1">
      <c r="A643" s="5" t="str">
        <f>IF($G643="","",INDEX('EDS Lookup'!$D$6:$D$2819,$G643))</f>
        <v/>
      </c>
      <c r="B643" s="5" t="str">
        <f>IF($G643="","",INDEX('EDS Lookup'!$B$6:$B$2819,$G643))</f>
        <v/>
      </c>
      <c r="C643" s="17"/>
      <c r="D643" s="6"/>
      <c r="E643" s="7" t="str">
        <f>IF($G643="","",INDEX('EDS Lookup'!$F$6:$F$2819,$G643))</f>
        <v/>
      </c>
      <c r="F643" s="8" t="str">
        <f>IF($G643="","",INDEX('EDS Lookup'!$G$6:$G$2819,$G643))</f>
        <v/>
      </c>
      <c r="G643" t="str">
        <f>IF(620&lt;=$B$4,IFERROR(MATCH(620,'EDS Lookup'!$H$6:$H$2819,0),""),"")</f>
        <v/>
      </c>
      <c r="H643" t="str">
        <f t="shared" si="9"/>
        <v/>
      </c>
    </row>
    <row r="644" spans="1:8" ht="19.95" customHeight="1">
      <c r="A644" s="5" t="str">
        <f>IF($G644="","",INDEX('EDS Lookup'!$D$6:$D$2819,$G644))</f>
        <v/>
      </c>
      <c r="B644" s="5" t="str">
        <f>IF($G644="","",INDEX('EDS Lookup'!$B$6:$B$2819,$G644))</f>
        <v/>
      </c>
      <c r="C644" s="17"/>
      <c r="D644" s="6"/>
      <c r="E644" s="7" t="str">
        <f>IF($G644="","",INDEX('EDS Lookup'!$F$6:$F$2819,$G644))</f>
        <v/>
      </c>
      <c r="F644" s="8" t="str">
        <f>IF($G644="","",INDEX('EDS Lookup'!$G$6:$G$2819,$G644))</f>
        <v/>
      </c>
      <c r="G644" t="str">
        <f>IF(621&lt;=$B$4,IFERROR(MATCH(621,'EDS Lookup'!$H$6:$H$2819,0),""),"")</f>
        <v/>
      </c>
      <c r="H644" t="str">
        <f t="shared" si="9"/>
        <v/>
      </c>
    </row>
    <row r="645" spans="1:8" ht="19.95" customHeight="1">
      <c r="A645" s="5" t="str">
        <f>IF($G645="","",INDEX('EDS Lookup'!$D$6:$D$2819,$G645))</f>
        <v/>
      </c>
      <c r="B645" s="5" t="str">
        <f>IF($G645="","",INDEX('EDS Lookup'!$B$6:$B$2819,$G645))</f>
        <v/>
      </c>
      <c r="C645" s="17"/>
      <c r="D645" s="6"/>
      <c r="E645" s="7" t="str">
        <f>IF($G645="","",INDEX('EDS Lookup'!$F$6:$F$2819,$G645))</f>
        <v/>
      </c>
      <c r="F645" s="8" t="str">
        <f>IF($G645="","",INDEX('EDS Lookup'!$G$6:$G$2819,$G645))</f>
        <v/>
      </c>
      <c r="G645" t="str">
        <f>IF(622&lt;=$B$4,IFERROR(MATCH(622,'EDS Lookup'!$H$6:$H$2819,0),""),"")</f>
        <v/>
      </c>
      <c r="H645" t="str">
        <f t="shared" si="9"/>
        <v/>
      </c>
    </row>
    <row r="646" spans="1:8" ht="19.95" customHeight="1">
      <c r="A646" s="5" t="str">
        <f>IF($G646="","",INDEX('EDS Lookup'!$D$6:$D$2819,$G646))</f>
        <v/>
      </c>
      <c r="B646" s="5" t="str">
        <f>IF($G646="","",INDEX('EDS Lookup'!$B$6:$B$2819,$G646))</f>
        <v/>
      </c>
      <c r="C646" s="17"/>
      <c r="D646" s="6"/>
      <c r="E646" s="7" t="str">
        <f>IF($G646="","",INDEX('EDS Lookup'!$F$6:$F$2819,$G646))</f>
        <v/>
      </c>
      <c r="F646" s="8" t="str">
        <f>IF($G646="","",INDEX('EDS Lookup'!$G$6:$G$2819,$G646))</f>
        <v/>
      </c>
      <c r="G646" t="str">
        <f>IF(623&lt;=$B$4,IFERROR(MATCH(623,'EDS Lookup'!$H$6:$H$2819,0),""),"")</f>
        <v/>
      </c>
      <c r="H646" t="str">
        <f t="shared" si="9"/>
        <v/>
      </c>
    </row>
    <row r="647" spans="1:8" ht="19.95" customHeight="1">
      <c r="A647" s="5" t="str">
        <f>IF($G647="","",INDEX('EDS Lookup'!$D$6:$D$2819,$G647))</f>
        <v/>
      </c>
      <c r="B647" s="5" t="str">
        <f>IF($G647="","",INDEX('EDS Lookup'!$B$6:$B$2819,$G647))</f>
        <v/>
      </c>
      <c r="C647" s="17"/>
      <c r="D647" s="6"/>
      <c r="E647" s="7" t="str">
        <f>IF($G647="","",INDEX('EDS Lookup'!$F$6:$F$2819,$G647))</f>
        <v/>
      </c>
      <c r="F647" s="8" t="str">
        <f>IF($G647="","",INDEX('EDS Lookup'!$G$6:$G$2819,$G647))</f>
        <v/>
      </c>
      <c r="G647" t="str">
        <f>IF(624&lt;=$B$4,IFERROR(MATCH(624,'EDS Lookup'!$H$6:$H$2819,0),""),"")</f>
        <v/>
      </c>
      <c r="H647" t="str">
        <f t="shared" si="9"/>
        <v/>
      </c>
    </row>
    <row r="648" spans="1:8" ht="19.95" customHeight="1">
      <c r="A648" s="5" t="str">
        <f>IF($G648="","",INDEX('EDS Lookup'!$D$6:$D$2819,$G648))</f>
        <v/>
      </c>
      <c r="B648" s="5" t="str">
        <f>IF($G648="","",INDEX('EDS Lookup'!$B$6:$B$2819,$G648))</f>
        <v/>
      </c>
      <c r="C648" s="17"/>
      <c r="D648" s="6"/>
      <c r="E648" s="7" t="str">
        <f>IF($G648="","",INDEX('EDS Lookup'!$F$6:$F$2819,$G648))</f>
        <v/>
      </c>
      <c r="F648" s="8" t="str">
        <f>IF($G648="","",INDEX('EDS Lookup'!$G$6:$G$2819,$G648))</f>
        <v/>
      </c>
      <c r="G648" t="str">
        <f>IF(625&lt;=$B$4,IFERROR(MATCH(625,'EDS Lookup'!$H$6:$H$2819,0),""),"")</f>
        <v/>
      </c>
      <c r="H648" t="str">
        <f t="shared" si="9"/>
        <v/>
      </c>
    </row>
    <row r="649" spans="1:8" ht="19.95" customHeight="1">
      <c r="A649" s="5" t="str">
        <f>IF($G649="","",INDEX('EDS Lookup'!$D$6:$D$2819,$G649))</f>
        <v/>
      </c>
      <c r="B649" s="5" t="str">
        <f>IF($G649="","",INDEX('EDS Lookup'!$B$6:$B$2819,$G649))</f>
        <v/>
      </c>
      <c r="C649" s="17"/>
      <c r="D649" s="6"/>
      <c r="E649" s="7" t="str">
        <f>IF($G649="","",INDEX('EDS Lookup'!$F$6:$F$2819,$G649))</f>
        <v/>
      </c>
      <c r="F649" s="8" t="str">
        <f>IF($G649="","",INDEX('EDS Lookup'!$G$6:$G$2819,$G649))</f>
        <v/>
      </c>
      <c r="G649" t="str">
        <f>IF(626&lt;=$B$4,IFERROR(MATCH(626,'EDS Lookup'!$H$6:$H$2819,0),""),"")</f>
        <v/>
      </c>
      <c r="H649" t="str">
        <f t="shared" si="9"/>
        <v/>
      </c>
    </row>
    <row r="650" spans="1:8" ht="19.95" customHeight="1">
      <c r="A650" s="5" t="str">
        <f>IF($G650="","",INDEX('EDS Lookup'!$D$6:$D$2819,$G650))</f>
        <v/>
      </c>
      <c r="B650" s="5" t="str">
        <f>IF($G650="","",INDEX('EDS Lookup'!$B$6:$B$2819,$G650))</f>
        <v/>
      </c>
      <c r="C650" s="17"/>
      <c r="D650" s="6"/>
      <c r="E650" s="7" t="str">
        <f>IF($G650="","",INDEX('EDS Lookup'!$F$6:$F$2819,$G650))</f>
        <v/>
      </c>
      <c r="F650" s="8" t="str">
        <f>IF($G650="","",INDEX('EDS Lookup'!$G$6:$G$2819,$G650))</f>
        <v/>
      </c>
      <c r="G650" t="str">
        <f>IF(627&lt;=$B$4,IFERROR(MATCH(627,'EDS Lookup'!$H$6:$H$2819,0),""),"")</f>
        <v/>
      </c>
      <c r="H650" t="str">
        <f t="shared" si="9"/>
        <v/>
      </c>
    </row>
    <row r="651" spans="1:8" ht="19.95" customHeight="1">
      <c r="A651" s="5" t="str">
        <f>IF($G651="","",INDEX('EDS Lookup'!$D$6:$D$2819,$G651))</f>
        <v/>
      </c>
      <c r="B651" s="5" t="str">
        <f>IF($G651="","",INDEX('EDS Lookup'!$B$6:$B$2819,$G651))</f>
        <v/>
      </c>
      <c r="C651" s="17"/>
      <c r="D651" s="6"/>
      <c r="E651" s="7" t="str">
        <f>IF($G651="","",INDEX('EDS Lookup'!$F$6:$F$2819,$G651))</f>
        <v/>
      </c>
      <c r="F651" s="8" t="str">
        <f>IF($G651="","",INDEX('EDS Lookup'!$G$6:$G$2819,$G651))</f>
        <v/>
      </c>
      <c r="G651" t="str">
        <f>IF(628&lt;=$B$4,IFERROR(MATCH(628,'EDS Lookup'!$H$6:$H$2819,0),""),"")</f>
        <v/>
      </c>
      <c r="H651" t="str">
        <f t="shared" si="9"/>
        <v/>
      </c>
    </row>
    <row r="652" spans="1:8" ht="19.95" customHeight="1">
      <c r="A652" s="5" t="str">
        <f>IF($G652="","",INDEX('EDS Lookup'!$D$6:$D$2819,$G652))</f>
        <v/>
      </c>
      <c r="B652" s="5" t="str">
        <f>IF($G652="","",INDEX('EDS Lookup'!$B$6:$B$2819,$G652))</f>
        <v/>
      </c>
      <c r="C652" s="17"/>
      <c r="D652" s="6"/>
      <c r="E652" s="7" t="str">
        <f>IF($G652="","",INDEX('EDS Lookup'!$F$6:$F$2819,$G652))</f>
        <v/>
      </c>
      <c r="F652" s="8" t="str">
        <f>IF($G652="","",INDEX('EDS Lookup'!$G$6:$G$2819,$G652))</f>
        <v/>
      </c>
      <c r="G652" t="str">
        <f>IF(629&lt;=$B$4,IFERROR(MATCH(629,'EDS Lookup'!$H$6:$H$2819,0),""),"")</f>
        <v/>
      </c>
      <c r="H652" t="str">
        <f t="shared" si="9"/>
        <v/>
      </c>
    </row>
    <row r="653" spans="1:8" ht="19.95" customHeight="1">
      <c r="A653" s="5" t="str">
        <f>IF($G653="","",INDEX('EDS Lookup'!$D$6:$D$2819,$G653))</f>
        <v/>
      </c>
      <c r="B653" s="5" t="str">
        <f>IF($G653="","",INDEX('EDS Lookup'!$B$6:$B$2819,$G653))</f>
        <v/>
      </c>
      <c r="C653" s="17"/>
      <c r="D653" s="6"/>
      <c r="E653" s="7" t="str">
        <f>IF($G653="","",INDEX('EDS Lookup'!$F$6:$F$2819,$G653))</f>
        <v/>
      </c>
      <c r="F653" s="8" t="str">
        <f>IF($G653="","",INDEX('EDS Lookup'!$G$6:$G$2819,$G653))</f>
        <v/>
      </c>
      <c r="G653" t="str">
        <f>IF(630&lt;=$B$4,IFERROR(MATCH(630,'EDS Lookup'!$H$6:$H$2819,0),""),"")</f>
        <v/>
      </c>
      <c r="H653" t="str">
        <f t="shared" si="9"/>
        <v/>
      </c>
    </row>
    <row r="654" spans="1:8" ht="19.95" customHeight="1">
      <c r="A654" s="5" t="str">
        <f>IF($G654="","",INDEX('EDS Lookup'!$D$6:$D$2819,$G654))</f>
        <v/>
      </c>
      <c r="B654" s="5" t="str">
        <f>IF($G654="","",INDEX('EDS Lookup'!$B$6:$B$2819,$G654))</f>
        <v/>
      </c>
      <c r="C654" s="17"/>
      <c r="D654" s="6"/>
      <c r="E654" s="7" t="str">
        <f>IF($G654="","",INDEX('EDS Lookup'!$F$6:$F$2819,$G654))</f>
        <v/>
      </c>
      <c r="F654" s="8" t="str">
        <f>IF($G654="","",INDEX('EDS Lookup'!$G$6:$G$2819,$G654))</f>
        <v/>
      </c>
      <c r="G654" t="str">
        <f>IF(631&lt;=$B$4,IFERROR(MATCH(631,'EDS Lookup'!$H$6:$H$2819,0),""),"")</f>
        <v/>
      </c>
      <c r="H654" t="str">
        <f t="shared" si="9"/>
        <v/>
      </c>
    </row>
    <row r="655" spans="1:8" ht="19.95" customHeight="1">
      <c r="A655" s="5" t="str">
        <f>IF($G655="","",INDEX('EDS Lookup'!$D$6:$D$2819,$G655))</f>
        <v/>
      </c>
      <c r="B655" s="5" t="str">
        <f>IF($G655="","",INDEX('EDS Lookup'!$B$6:$B$2819,$G655))</f>
        <v/>
      </c>
      <c r="C655" s="17"/>
      <c r="D655" s="6"/>
      <c r="E655" s="7" t="str">
        <f>IF($G655="","",INDEX('EDS Lookup'!$F$6:$F$2819,$G655))</f>
        <v/>
      </c>
      <c r="F655" s="8" t="str">
        <f>IF($G655="","",INDEX('EDS Lookup'!$G$6:$G$2819,$G655))</f>
        <v/>
      </c>
      <c r="G655" t="str">
        <f>IF(632&lt;=$B$4,IFERROR(MATCH(632,'EDS Lookup'!$H$6:$H$2819,0),""),"")</f>
        <v/>
      </c>
      <c r="H655" t="str">
        <f t="shared" si="9"/>
        <v/>
      </c>
    </row>
    <row r="656" spans="1:8" ht="19.95" customHeight="1">
      <c r="A656" s="5" t="str">
        <f>IF($G656="","",INDEX('EDS Lookup'!$D$6:$D$2819,$G656))</f>
        <v/>
      </c>
      <c r="B656" s="5" t="str">
        <f>IF($G656="","",INDEX('EDS Lookup'!$B$6:$B$2819,$G656))</f>
        <v/>
      </c>
      <c r="C656" s="17"/>
      <c r="D656" s="6"/>
      <c r="E656" s="7" t="str">
        <f>IF($G656="","",INDEX('EDS Lookup'!$F$6:$F$2819,$G656))</f>
        <v/>
      </c>
      <c r="F656" s="8" t="str">
        <f>IF($G656="","",INDEX('EDS Lookup'!$G$6:$G$2819,$G656))</f>
        <v/>
      </c>
      <c r="G656" t="str">
        <f>IF(633&lt;=$B$4,IFERROR(MATCH(633,'EDS Lookup'!$H$6:$H$2819,0),""),"")</f>
        <v/>
      </c>
      <c r="H656" t="str">
        <f t="shared" si="9"/>
        <v/>
      </c>
    </row>
    <row r="657" spans="1:8" ht="19.95" customHeight="1">
      <c r="A657" s="5" t="str">
        <f>IF($G657="","",INDEX('EDS Lookup'!$D$6:$D$2819,$G657))</f>
        <v/>
      </c>
      <c r="B657" s="5" t="str">
        <f>IF($G657="","",INDEX('EDS Lookup'!$B$6:$B$2819,$G657))</f>
        <v/>
      </c>
      <c r="C657" s="17"/>
      <c r="D657" s="6"/>
      <c r="E657" s="7" t="str">
        <f>IF($G657="","",INDEX('EDS Lookup'!$F$6:$F$2819,$G657))</f>
        <v/>
      </c>
      <c r="F657" s="8" t="str">
        <f>IF($G657="","",INDEX('EDS Lookup'!$G$6:$G$2819,$G657))</f>
        <v/>
      </c>
      <c r="G657" t="str">
        <f>IF(634&lt;=$B$4,IFERROR(MATCH(634,'EDS Lookup'!$H$6:$H$2819,0),""),"")</f>
        <v/>
      </c>
      <c r="H657" t="str">
        <f t="shared" si="9"/>
        <v/>
      </c>
    </row>
    <row r="658" spans="1:8" ht="19.95" customHeight="1">
      <c r="A658" s="5" t="str">
        <f>IF($G658="","",INDEX('EDS Lookup'!$D$6:$D$2819,$G658))</f>
        <v/>
      </c>
      <c r="B658" s="5" t="str">
        <f>IF($G658="","",INDEX('EDS Lookup'!$B$6:$B$2819,$G658))</f>
        <v/>
      </c>
      <c r="C658" s="17"/>
      <c r="D658" s="6"/>
      <c r="E658" s="7" t="str">
        <f>IF($G658="","",INDEX('EDS Lookup'!$F$6:$F$2819,$G658))</f>
        <v/>
      </c>
      <c r="F658" s="8" t="str">
        <f>IF($G658="","",INDEX('EDS Lookup'!$G$6:$G$2819,$G658))</f>
        <v/>
      </c>
      <c r="G658" t="str">
        <f>IF(635&lt;=$B$4,IFERROR(MATCH(635,'EDS Lookup'!$H$6:$H$2819,0),""),"")</f>
        <v/>
      </c>
      <c r="H658" t="str">
        <f t="shared" si="9"/>
        <v/>
      </c>
    </row>
    <row r="659" spans="1:8" ht="19.95" customHeight="1">
      <c r="A659" s="5" t="str">
        <f>IF($G659="","",INDEX('EDS Lookup'!$D$6:$D$2819,$G659))</f>
        <v/>
      </c>
      <c r="B659" s="5" t="str">
        <f>IF($G659="","",INDEX('EDS Lookup'!$B$6:$B$2819,$G659))</f>
        <v/>
      </c>
      <c r="C659" s="17"/>
      <c r="D659" s="6"/>
      <c r="E659" s="7" t="str">
        <f>IF($G659="","",INDEX('EDS Lookup'!$F$6:$F$2819,$G659))</f>
        <v/>
      </c>
      <c r="F659" s="8" t="str">
        <f>IF($G659="","",INDEX('EDS Lookup'!$G$6:$G$2819,$G659))</f>
        <v/>
      </c>
      <c r="G659" t="str">
        <f>IF(636&lt;=$B$4,IFERROR(MATCH(636,'EDS Lookup'!$H$6:$H$2819,0),""),"")</f>
        <v/>
      </c>
      <c r="H659" t="str">
        <f t="shared" si="9"/>
        <v/>
      </c>
    </row>
    <row r="660" spans="1:8" ht="19.95" customHeight="1">
      <c r="A660" s="5" t="str">
        <f>IF($G660="","",INDEX('EDS Lookup'!$D$6:$D$2819,$G660))</f>
        <v/>
      </c>
      <c r="B660" s="5" t="str">
        <f>IF($G660="","",INDEX('EDS Lookup'!$B$6:$B$2819,$G660))</f>
        <v/>
      </c>
      <c r="C660" s="17"/>
      <c r="D660" s="6"/>
      <c r="E660" s="7" t="str">
        <f>IF($G660="","",INDEX('EDS Lookup'!$F$6:$F$2819,$G660))</f>
        <v/>
      </c>
      <c r="F660" s="8" t="str">
        <f>IF($G660="","",INDEX('EDS Lookup'!$G$6:$G$2819,$G660))</f>
        <v/>
      </c>
      <c r="G660" t="str">
        <f>IF(637&lt;=$B$4,IFERROR(MATCH(637,'EDS Lookup'!$H$6:$H$2819,0),""),"")</f>
        <v/>
      </c>
      <c r="H660" t="str">
        <f t="shared" si="9"/>
        <v/>
      </c>
    </row>
    <row r="661" spans="1:8" ht="19.95" customHeight="1">
      <c r="A661" s="5" t="str">
        <f>IF($G661="","",INDEX('EDS Lookup'!$D$6:$D$2819,$G661))</f>
        <v/>
      </c>
      <c r="B661" s="5" t="str">
        <f>IF($G661="","",INDEX('EDS Lookup'!$B$6:$B$2819,$G661))</f>
        <v/>
      </c>
      <c r="C661" s="17"/>
      <c r="D661" s="6"/>
      <c r="E661" s="7" t="str">
        <f>IF($G661="","",INDEX('EDS Lookup'!$F$6:$F$2819,$G661))</f>
        <v/>
      </c>
      <c r="F661" s="8" t="str">
        <f>IF($G661="","",INDEX('EDS Lookup'!$G$6:$G$2819,$G661))</f>
        <v/>
      </c>
      <c r="G661" t="str">
        <f>IF(638&lt;=$B$4,IFERROR(MATCH(638,'EDS Lookup'!$H$6:$H$2819,0),""),"")</f>
        <v/>
      </c>
      <c r="H661" t="str">
        <f t="shared" si="9"/>
        <v/>
      </c>
    </row>
    <row r="662" spans="1:8" ht="19.95" customHeight="1">
      <c r="A662" s="5" t="str">
        <f>IF($G662="","",INDEX('EDS Lookup'!$D$6:$D$2819,$G662))</f>
        <v/>
      </c>
      <c r="B662" s="5" t="str">
        <f>IF($G662="","",INDEX('EDS Lookup'!$B$6:$B$2819,$G662))</f>
        <v/>
      </c>
      <c r="C662" s="17"/>
      <c r="D662" s="6"/>
      <c r="E662" s="7" t="str">
        <f>IF($G662="","",INDEX('EDS Lookup'!$F$6:$F$2819,$G662))</f>
        <v/>
      </c>
      <c r="F662" s="8" t="str">
        <f>IF($G662="","",INDEX('EDS Lookup'!$G$6:$G$2819,$G662))</f>
        <v/>
      </c>
      <c r="G662" t="str">
        <f>IF(639&lt;=$B$4,IFERROR(MATCH(639,'EDS Lookup'!$H$6:$H$2819,0),""),"")</f>
        <v/>
      </c>
      <c r="H662" t="str">
        <f t="shared" si="9"/>
        <v/>
      </c>
    </row>
    <row r="663" spans="1:8" ht="19.95" customHeight="1">
      <c r="A663" s="5" t="str">
        <f>IF($G663="","",INDEX('EDS Lookup'!$D$6:$D$2819,$G663))</f>
        <v/>
      </c>
      <c r="B663" s="5" t="str">
        <f>IF($G663="","",INDEX('EDS Lookup'!$B$6:$B$2819,$G663))</f>
        <v/>
      </c>
      <c r="C663" s="17"/>
      <c r="D663" s="6"/>
      <c r="E663" s="7" t="str">
        <f>IF($G663="","",INDEX('EDS Lookup'!$F$6:$F$2819,$G663))</f>
        <v/>
      </c>
      <c r="F663" s="8" t="str">
        <f>IF($G663="","",INDEX('EDS Lookup'!$G$6:$G$2819,$G663))</f>
        <v/>
      </c>
      <c r="G663" t="str">
        <f>IF(640&lt;=$B$4,IFERROR(MATCH(640,'EDS Lookup'!$H$6:$H$2819,0),""),"")</f>
        <v/>
      </c>
      <c r="H663" t="str">
        <f t="shared" si="9"/>
        <v/>
      </c>
    </row>
    <row r="664" spans="1:8" ht="19.95" customHeight="1">
      <c r="A664" s="5" t="str">
        <f>IF($G664="","",INDEX('EDS Lookup'!$D$6:$D$2819,$G664))</f>
        <v/>
      </c>
      <c r="B664" s="5" t="str">
        <f>IF($G664="","",INDEX('EDS Lookup'!$B$6:$B$2819,$G664))</f>
        <v/>
      </c>
      <c r="C664" s="17"/>
      <c r="D664" s="6"/>
      <c r="E664" s="7" t="str">
        <f>IF($G664="","",INDEX('EDS Lookup'!$F$6:$F$2819,$G664))</f>
        <v/>
      </c>
      <c r="F664" s="8" t="str">
        <f>IF($G664="","",INDEX('EDS Lookup'!$G$6:$G$2819,$G664))</f>
        <v/>
      </c>
      <c r="G664" t="str">
        <f>IF(641&lt;=$B$4,IFERROR(MATCH(641,'EDS Lookup'!$H$6:$H$2819,0),""),"")</f>
        <v/>
      </c>
      <c r="H664" t="str">
        <f t="shared" ref="H664:H727" si="10">IF(F664="&lt;5",5,IF(F664="&gt;95",95,IF(ISNUMBER(F664),F664,"")))</f>
        <v/>
      </c>
    </row>
    <row r="665" spans="1:8" ht="19.95" customHeight="1">
      <c r="A665" s="5" t="str">
        <f>IF($G665="","",INDEX('EDS Lookup'!$D$6:$D$2819,$G665))</f>
        <v/>
      </c>
      <c r="B665" s="5" t="str">
        <f>IF($G665="","",INDEX('EDS Lookup'!$B$6:$B$2819,$G665))</f>
        <v/>
      </c>
      <c r="C665" s="17"/>
      <c r="D665" s="6"/>
      <c r="E665" s="7" t="str">
        <f>IF($G665="","",INDEX('EDS Lookup'!$F$6:$F$2819,$G665))</f>
        <v/>
      </c>
      <c r="F665" s="8" t="str">
        <f>IF($G665="","",INDEX('EDS Lookup'!$G$6:$G$2819,$G665))</f>
        <v/>
      </c>
      <c r="G665" t="str">
        <f>IF(642&lt;=$B$4,IFERROR(MATCH(642,'EDS Lookup'!$H$6:$H$2819,0),""),"")</f>
        <v/>
      </c>
      <c r="H665" t="str">
        <f t="shared" si="10"/>
        <v/>
      </c>
    </row>
    <row r="666" spans="1:8" ht="19.95" customHeight="1">
      <c r="A666" s="5" t="str">
        <f>IF($G666="","",INDEX('EDS Lookup'!$D$6:$D$2819,$G666))</f>
        <v/>
      </c>
      <c r="B666" s="5" t="str">
        <f>IF($G666="","",INDEX('EDS Lookup'!$B$6:$B$2819,$G666))</f>
        <v/>
      </c>
      <c r="C666" s="17"/>
      <c r="D666" s="6"/>
      <c r="E666" s="7" t="str">
        <f>IF($G666="","",INDEX('EDS Lookup'!$F$6:$F$2819,$G666))</f>
        <v/>
      </c>
      <c r="F666" s="8" t="str">
        <f>IF($G666="","",INDEX('EDS Lookup'!$G$6:$G$2819,$G666))</f>
        <v/>
      </c>
      <c r="G666" t="str">
        <f>IF(643&lt;=$B$4,IFERROR(MATCH(643,'EDS Lookup'!$H$6:$H$2819,0),""),"")</f>
        <v/>
      </c>
      <c r="H666" t="str">
        <f t="shared" si="10"/>
        <v/>
      </c>
    </row>
    <row r="667" spans="1:8" ht="19.95" customHeight="1">
      <c r="A667" s="5" t="str">
        <f>IF($G667="","",INDEX('EDS Lookup'!$D$6:$D$2819,$G667))</f>
        <v/>
      </c>
      <c r="B667" s="5" t="str">
        <f>IF($G667="","",INDEX('EDS Lookup'!$B$6:$B$2819,$G667))</f>
        <v/>
      </c>
      <c r="C667" s="17"/>
      <c r="D667" s="6"/>
      <c r="E667" s="7" t="str">
        <f>IF($G667="","",INDEX('EDS Lookup'!$F$6:$F$2819,$G667))</f>
        <v/>
      </c>
      <c r="F667" s="8" t="str">
        <f>IF($G667="","",INDEX('EDS Lookup'!$G$6:$G$2819,$G667))</f>
        <v/>
      </c>
      <c r="G667" t="str">
        <f>IF(644&lt;=$B$4,IFERROR(MATCH(644,'EDS Lookup'!$H$6:$H$2819,0),""),"")</f>
        <v/>
      </c>
      <c r="H667" t="str">
        <f t="shared" si="10"/>
        <v/>
      </c>
    </row>
    <row r="668" spans="1:8" ht="19.95" customHeight="1">
      <c r="A668" s="5" t="str">
        <f>IF($G668="","",INDEX('EDS Lookup'!$D$6:$D$2819,$G668))</f>
        <v/>
      </c>
      <c r="B668" s="5" t="str">
        <f>IF($G668="","",INDEX('EDS Lookup'!$B$6:$B$2819,$G668))</f>
        <v/>
      </c>
      <c r="C668" s="17"/>
      <c r="D668" s="6"/>
      <c r="E668" s="7" t="str">
        <f>IF($G668="","",INDEX('EDS Lookup'!$F$6:$F$2819,$G668))</f>
        <v/>
      </c>
      <c r="F668" s="8" t="str">
        <f>IF($G668="","",INDEX('EDS Lookup'!$G$6:$G$2819,$G668))</f>
        <v/>
      </c>
      <c r="G668" t="str">
        <f>IF(645&lt;=$B$4,IFERROR(MATCH(645,'EDS Lookup'!$H$6:$H$2819,0),""),"")</f>
        <v/>
      </c>
      <c r="H668" t="str">
        <f t="shared" si="10"/>
        <v/>
      </c>
    </row>
    <row r="669" spans="1:8" ht="19.95" customHeight="1">
      <c r="A669" s="5" t="str">
        <f>IF($G669="","",INDEX('EDS Lookup'!$D$6:$D$2819,$G669))</f>
        <v/>
      </c>
      <c r="B669" s="5" t="str">
        <f>IF($G669="","",INDEX('EDS Lookup'!$B$6:$B$2819,$G669))</f>
        <v/>
      </c>
      <c r="C669" s="17"/>
      <c r="D669" s="6"/>
      <c r="E669" s="7" t="str">
        <f>IF($G669="","",INDEX('EDS Lookup'!$F$6:$F$2819,$G669))</f>
        <v/>
      </c>
      <c r="F669" s="8" t="str">
        <f>IF($G669="","",INDEX('EDS Lookup'!$G$6:$G$2819,$G669))</f>
        <v/>
      </c>
      <c r="G669" t="str">
        <f>IF(646&lt;=$B$4,IFERROR(MATCH(646,'EDS Lookup'!$H$6:$H$2819,0),""),"")</f>
        <v/>
      </c>
      <c r="H669" t="str">
        <f t="shared" si="10"/>
        <v/>
      </c>
    </row>
    <row r="670" spans="1:8" ht="19.95" customHeight="1">
      <c r="A670" s="5" t="str">
        <f>IF($G670="","",INDEX('EDS Lookup'!$D$6:$D$2819,$G670))</f>
        <v/>
      </c>
      <c r="B670" s="5" t="str">
        <f>IF($G670="","",INDEX('EDS Lookup'!$B$6:$B$2819,$G670))</f>
        <v/>
      </c>
      <c r="C670" s="17"/>
      <c r="D670" s="6"/>
      <c r="E670" s="7" t="str">
        <f>IF($G670="","",INDEX('EDS Lookup'!$F$6:$F$2819,$G670))</f>
        <v/>
      </c>
      <c r="F670" s="8" t="str">
        <f>IF($G670="","",INDEX('EDS Lookup'!$G$6:$G$2819,$G670))</f>
        <v/>
      </c>
      <c r="G670" t="str">
        <f>IF(647&lt;=$B$4,IFERROR(MATCH(647,'EDS Lookup'!$H$6:$H$2819,0),""),"")</f>
        <v/>
      </c>
      <c r="H670" t="str">
        <f t="shared" si="10"/>
        <v/>
      </c>
    </row>
    <row r="671" spans="1:8" ht="19.95" customHeight="1">
      <c r="A671" s="5" t="str">
        <f>IF($G671="","",INDEX('EDS Lookup'!$D$6:$D$2819,$G671))</f>
        <v/>
      </c>
      <c r="B671" s="5" t="str">
        <f>IF($G671="","",INDEX('EDS Lookup'!$B$6:$B$2819,$G671))</f>
        <v/>
      </c>
      <c r="C671" s="17"/>
      <c r="D671" s="6"/>
      <c r="E671" s="7" t="str">
        <f>IF($G671="","",INDEX('EDS Lookup'!$F$6:$F$2819,$G671))</f>
        <v/>
      </c>
      <c r="F671" s="8" t="str">
        <f>IF($G671="","",INDEX('EDS Lookup'!$G$6:$G$2819,$G671))</f>
        <v/>
      </c>
      <c r="G671" t="str">
        <f>IF(648&lt;=$B$4,IFERROR(MATCH(648,'EDS Lookup'!$H$6:$H$2819,0),""),"")</f>
        <v/>
      </c>
      <c r="H671" t="str">
        <f t="shared" si="10"/>
        <v/>
      </c>
    </row>
    <row r="672" spans="1:8" ht="19.95" customHeight="1">
      <c r="A672" s="5" t="str">
        <f>IF($G672="","",INDEX('EDS Lookup'!$D$6:$D$2819,$G672))</f>
        <v/>
      </c>
      <c r="B672" s="5" t="str">
        <f>IF($G672="","",INDEX('EDS Lookup'!$B$6:$B$2819,$G672))</f>
        <v/>
      </c>
      <c r="C672" s="17"/>
      <c r="D672" s="6"/>
      <c r="E672" s="7" t="str">
        <f>IF($G672="","",INDEX('EDS Lookup'!$F$6:$F$2819,$G672))</f>
        <v/>
      </c>
      <c r="F672" s="8" t="str">
        <f>IF($G672="","",INDEX('EDS Lookup'!$G$6:$G$2819,$G672))</f>
        <v/>
      </c>
      <c r="G672" t="str">
        <f>IF(649&lt;=$B$4,IFERROR(MATCH(649,'EDS Lookup'!$H$6:$H$2819,0),""),"")</f>
        <v/>
      </c>
      <c r="H672" t="str">
        <f t="shared" si="10"/>
        <v/>
      </c>
    </row>
    <row r="673" spans="1:8" ht="19.95" customHeight="1">
      <c r="A673" s="5" t="str">
        <f>IF($G673="","",INDEX('EDS Lookup'!$D$6:$D$2819,$G673))</f>
        <v/>
      </c>
      <c r="B673" s="5" t="str">
        <f>IF($G673="","",INDEX('EDS Lookup'!$B$6:$B$2819,$G673))</f>
        <v/>
      </c>
      <c r="C673" s="17"/>
      <c r="D673" s="6"/>
      <c r="E673" s="7" t="str">
        <f>IF($G673="","",INDEX('EDS Lookup'!$F$6:$F$2819,$G673))</f>
        <v/>
      </c>
      <c r="F673" s="8" t="str">
        <f>IF($G673="","",INDEX('EDS Lookup'!$G$6:$G$2819,$G673))</f>
        <v/>
      </c>
      <c r="G673" t="str">
        <f>IF(650&lt;=$B$4,IFERROR(MATCH(650,'EDS Lookup'!$H$6:$H$2819,0),""),"")</f>
        <v/>
      </c>
      <c r="H673" t="str">
        <f t="shared" si="10"/>
        <v/>
      </c>
    </row>
    <row r="674" spans="1:8" ht="19.95" customHeight="1">
      <c r="A674" s="5" t="str">
        <f>IF($G674="","",INDEX('EDS Lookup'!$D$6:$D$2819,$G674))</f>
        <v/>
      </c>
      <c r="B674" s="5" t="str">
        <f>IF($G674="","",INDEX('EDS Lookup'!$B$6:$B$2819,$G674))</f>
        <v/>
      </c>
      <c r="C674" s="17"/>
      <c r="D674" s="6"/>
      <c r="E674" s="7" t="str">
        <f>IF($G674="","",INDEX('EDS Lookup'!$F$6:$F$2819,$G674))</f>
        <v/>
      </c>
      <c r="F674" s="8" t="str">
        <f>IF($G674="","",INDEX('EDS Lookup'!$G$6:$G$2819,$G674))</f>
        <v/>
      </c>
      <c r="G674" t="str">
        <f>IF(651&lt;=$B$4,IFERROR(MATCH(651,'EDS Lookup'!$H$6:$H$2819,0),""),"")</f>
        <v/>
      </c>
      <c r="H674" t="str">
        <f t="shared" si="10"/>
        <v/>
      </c>
    </row>
    <row r="675" spans="1:8" ht="19.95" customHeight="1">
      <c r="A675" s="5" t="str">
        <f>IF($G675="","",INDEX('EDS Lookup'!$D$6:$D$2819,$G675))</f>
        <v/>
      </c>
      <c r="B675" s="5" t="str">
        <f>IF($G675="","",INDEX('EDS Lookup'!$B$6:$B$2819,$G675))</f>
        <v/>
      </c>
      <c r="C675" s="17"/>
      <c r="D675" s="6"/>
      <c r="E675" s="7" t="str">
        <f>IF($G675="","",INDEX('EDS Lookup'!$F$6:$F$2819,$G675))</f>
        <v/>
      </c>
      <c r="F675" s="8" t="str">
        <f>IF($G675="","",INDEX('EDS Lookup'!$G$6:$G$2819,$G675))</f>
        <v/>
      </c>
      <c r="G675" t="str">
        <f>IF(652&lt;=$B$4,IFERROR(MATCH(652,'EDS Lookup'!$H$6:$H$2819,0),""),"")</f>
        <v/>
      </c>
      <c r="H675" t="str">
        <f t="shared" si="10"/>
        <v/>
      </c>
    </row>
    <row r="676" spans="1:8" ht="19.95" customHeight="1">
      <c r="A676" s="5" t="str">
        <f>IF($G676="","",INDEX('EDS Lookup'!$D$6:$D$2819,$G676))</f>
        <v/>
      </c>
      <c r="B676" s="5" t="str">
        <f>IF($G676="","",INDEX('EDS Lookup'!$B$6:$B$2819,$G676))</f>
        <v/>
      </c>
      <c r="C676" s="17"/>
      <c r="D676" s="6"/>
      <c r="E676" s="7" t="str">
        <f>IF($G676="","",INDEX('EDS Lookup'!$F$6:$F$2819,$G676))</f>
        <v/>
      </c>
      <c r="F676" s="8" t="str">
        <f>IF($G676="","",INDEX('EDS Lookup'!$G$6:$G$2819,$G676))</f>
        <v/>
      </c>
      <c r="G676" t="str">
        <f>IF(653&lt;=$B$4,IFERROR(MATCH(653,'EDS Lookup'!$H$6:$H$2819,0),""),"")</f>
        <v/>
      </c>
      <c r="H676" t="str">
        <f t="shared" si="10"/>
        <v/>
      </c>
    </row>
    <row r="677" spans="1:8" ht="19.95" customHeight="1">
      <c r="A677" s="5" t="str">
        <f>IF($G677="","",INDEX('EDS Lookup'!$D$6:$D$2819,$G677))</f>
        <v/>
      </c>
      <c r="B677" s="5" t="str">
        <f>IF($G677="","",INDEX('EDS Lookup'!$B$6:$B$2819,$G677))</f>
        <v/>
      </c>
      <c r="C677" s="17"/>
      <c r="D677" s="6"/>
      <c r="E677" s="7" t="str">
        <f>IF($G677="","",INDEX('EDS Lookup'!$F$6:$F$2819,$G677))</f>
        <v/>
      </c>
      <c r="F677" s="8" t="str">
        <f>IF($G677="","",INDEX('EDS Lookup'!$G$6:$G$2819,$G677))</f>
        <v/>
      </c>
      <c r="G677" t="str">
        <f>IF(654&lt;=$B$4,IFERROR(MATCH(654,'EDS Lookup'!$H$6:$H$2819,0),""),"")</f>
        <v/>
      </c>
      <c r="H677" t="str">
        <f t="shared" si="10"/>
        <v/>
      </c>
    </row>
    <row r="678" spans="1:8" ht="19.95" customHeight="1">
      <c r="A678" s="5" t="str">
        <f>IF($G678="","",INDEX('EDS Lookup'!$D$6:$D$2819,$G678))</f>
        <v/>
      </c>
      <c r="B678" s="5" t="str">
        <f>IF($G678="","",INDEX('EDS Lookup'!$B$6:$B$2819,$G678))</f>
        <v/>
      </c>
      <c r="C678" s="17"/>
      <c r="D678" s="6"/>
      <c r="E678" s="7" t="str">
        <f>IF($G678="","",INDEX('EDS Lookup'!$F$6:$F$2819,$G678))</f>
        <v/>
      </c>
      <c r="F678" s="8" t="str">
        <f>IF($G678="","",INDEX('EDS Lookup'!$G$6:$G$2819,$G678))</f>
        <v/>
      </c>
      <c r="G678" t="str">
        <f>IF(655&lt;=$B$4,IFERROR(MATCH(655,'EDS Lookup'!$H$6:$H$2819,0),""),"")</f>
        <v/>
      </c>
      <c r="H678" t="str">
        <f t="shared" si="10"/>
        <v/>
      </c>
    </row>
    <row r="679" spans="1:8" ht="19.95" customHeight="1">
      <c r="A679" s="5" t="str">
        <f>IF($G679="","",INDEX('EDS Lookup'!$D$6:$D$2819,$G679))</f>
        <v/>
      </c>
      <c r="B679" s="5" t="str">
        <f>IF($G679="","",INDEX('EDS Lookup'!$B$6:$B$2819,$G679))</f>
        <v/>
      </c>
      <c r="C679" s="17"/>
      <c r="D679" s="6"/>
      <c r="E679" s="7" t="str">
        <f>IF($G679="","",INDEX('EDS Lookup'!$F$6:$F$2819,$G679))</f>
        <v/>
      </c>
      <c r="F679" s="8" t="str">
        <f>IF($G679="","",INDEX('EDS Lookup'!$G$6:$G$2819,$G679))</f>
        <v/>
      </c>
      <c r="G679" t="str">
        <f>IF(656&lt;=$B$4,IFERROR(MATCH(656,'EDS Lookup'!$H$6:$H$2819,0),""),"")</f>
        <v/>
      </c>
      <c r="H679" t="str">
        <f t="shared" si="10"/>
        <v/>
      </c>
    </row>
    <row r="680" spans="1:8" ht="19.95" customHeight="1">
      <c r="A680" s="5" t="str">
        <f>IF($G680="","",INDEX('EDS Lookup'!$D$6:$D$2819,$G680))</f>
        <v/>
      </c>
      <c r="B680" s="5" t="str">
        <f>IF($G680="","",INDEX('EDS Lookup'!$B$6:$B$2819,$G680))</f>
        <v/>
      </c>
      <c r="C680" s="17"/>
      <c r="D680" s="6"/>
      <c r="E680" s="7" t="str">
        <f>IF($G680="","",INDEX('EDS Lookup'!$F$6:$F$2819,$G680))</f>
        <v/>
      </c>
      <c r="F680" s="8" t="str">
        <f>IF($G680="","",INDEX('EDS Lookup'!$G$6:$G$2819,$G680))</f>
        <v/>
      </c>
      <c r="G680" t="str">
        <f>IF(657&lt;=$B$4,IFERROR(MATCH(657,'EDS Lookup'!$H$6:$H$2819,0),""),"")</f>
        <v/>
      </c>
      <c r="H680" t="str">
        <f t="shared" si="10"/>
        <v/>
      </c>
    </row>
    <row r="681" spans="1:8" ht="19.95" customHeight="1">
      <c r="A681" s="5" t="str">
        <f>IF($G681="","",INDEX('EDS Lookup'!$D$6:$D$2819,$G681))</f>
        <v/>
      </c>
      <c r="B681" s="5" t="str">
        <f>IF($G681="","",INDEX('EDS Lookup'!$B$6:$B$2819,$G681))</f>
        <v/>
      </c>
      <c r="C681" s="17"/>
      <c r="D681" s="6"/>
      <c r="E681" s="7" t="str">
        <f>IF($G681="","",INDEX('EDS Lookup'!$F$6:$F$2819,$G681))</f>
        <v/>
      </c>
      <c r="F681" s="8" t="str">
        <f>IF($G681="","",INDEX('EDS Lookup'!$G$6:$G$2819,$G681))</f>
        <v/>
      </c>
      <c r="G681" t="str">
        <f>IF(658&lt;=$B$4,IFERROR(MATCH(658,'EDS Lookup'!$H$6:$H$2819,0),""),"")</f>
        <v/>
      </c>
      <c r="H681" t="str">
        <f t="shared" si="10"/>
        <v/>
      </c>
    </row>
    <row r="682" spans="1:8" ht="19.95" customHeight="1">
      <c r="A682" s="5" t="str">
        <f>IF($G682="","",INDEX('EDS Lookup'!$D$6:$D$2819,$G682))</f>
        <v/>
      </c>
      <c r="B682" s="5" t="str">
        <f>IF($G682="","",INDEX('EDS Lookup'!$B$6:$B$2819,$G682))</f>
        <v/>
      </c>
      <c r="C682" s="17"/>
      <c r="D682" s="6"/>
      <c r="E682" s="7" t="str">
        <f>IF($G682="","",INDEX('EDS Lookup'!$F$6:$F$2819,$G682))</f>
        <v/>
      </c>
      <c r="F682" s="8" t="str">
        <f>IF($G682="","",INDEX('EDS Lookup'!$G$6:$G$2819,$G682))</f>
        <v/>
      </c>
      <c r="G682" t="str">
        <f>IF(659&lt;=$B$4,IFERROR(MATCH(659,'EDS Lookup'!$H$6:$H$2819,0),""),"")</f>
        <v/>
      </c>
      <c r="H682" t="str">
        <f t="shared" si="10"/>
        <v/>
      </c>
    </row>
    <row r="683" spans="1:8" ht="19.95" customHeight="1">
      <c r="A683" s="5" t="str">
        <f>IF($G683="","",INDEX('EDS Lookup'!$D$6:$D$2819,$G683))</f>
        <v/>
      </c>
      <c r="B683" s="5" t="str">
        <f>IF($G683="","",INDEX('EDS Lookup'!$B$6:$B$2819,$G683))</f>
        <v/>
      </c>
      <c r="C683" s="17"/>
      <c r="D683" s="6"/>
      <c r="E683" s="7" t="str">
        <f>IF($G683="","",INDEX('EDS Lookup'!$F$6:$F$2819,$G683))</f>
        <v/>
      </c>
      <c r="F683" s="8" t="str">
        <f>IF($G683="","",INDEX('EDS Lookup'!$G$6:$G$2819,$G683))</f>
        <v/>
      </c>
      <c r="G683" t="str">
        <f>IF(660&lt;=$B$4,IFERROR(MATCH(660,'EDS Lookup'!$H$6:$H$2819,0),""),"")</f>
        <v/>
      </c>
      <c r="H683" t="str">
        <f t="shared" si="10"/>
        <v/>
      </c>
    </row>
    <row r="684" spans="1:8" ht="19.95" customHeight="1">
      <c r="A684" s="5" t="str">
        <f>IF($G684="","",INDEX('EDS Lookup'!$D$6:$D$2819,$G684))</f>
        <v/>
      </c>
      <c r="B684" s="5" t="str">
        <f>IF($G684="","",INDEX('EDS Lookup'!$B$6:$B$2819,$G684))</f>
        <v/>
      </c>
      <c r="C684" s="17"/>
      <c r="D684" s="6"/>
      <c r="E684" s="7" t="str">
        <f>IF($G684="","",INDEX('EDS Lookup'!$F$6:$F$2819,$G684))</f>
        <v/>
      </c>
      <c r="F684" s="8" t="str">
        <f>IF($G684="","",INDEX('EDS Lookup'!$G$6:$G$2819,$G684))</f>
        <v/>
      </c>
      <c r="G684" t="str">
        <f>IF(661&lt;=$B$4,IFERROR(MATCH(661,'EDS Lookup'!$H$6:$H$2819,0),""),"")</f>
        <v/>
      </c>
      <c r="H684" t="str">
        <f t="shared" si="10"/>
        <v/>
      </c>
    </row>
    <row r="685" spans="1:8" ht="19.95" customHeight="1">
      <c r="A685" s="5" t="str">
        <f>IF($G685="","",INDEX('EDS Lookup'!$D$6:$D$2819,$G685))</f>
        <v/>
      </c>
      <c r="B685" s="5" t="str">
        <f>IF($G685="","",INDEX('EDS Lookup'!$B$6:$B$2819,$G685))</f>
        <v/>
      </c>
      <c r="C685" s="17"/>
      <c r="D685" s="6"/>
      <c r="E685" s="7" t="str">
        <f>IF($G685="","",INDEX('EDS Lookup'!$F$6:$F$2819,$G685))</f>
        <v/>
      </c>
      <c r="F685" s="8" t="str">
        <f>IF($G685="","",INDEX('EDS Lookup'!$G$6:$G$2819,$G685))</f>
        <v/>
      </c>
      <c r="G685" t="str">
        <f>IF(662&lt;=$B$4,IFERROR(MATCH(662,'EDS Lookup'!$H$6:$H$2819,0),""),"")</f>
        <v/>
      </c>
      <c r="H685" t="str">
        <f t="shared" si="10"/>
        <v/>
      </c>
    </row>
    <row r="686" spans="1:8" ht="19.95" customHeight="1">
      <c r="A686" s="5" t="str">
        <f>IF($G686="","",INDEX('EDS Lookup'!$D$6:$D$2819,$G686))</f>
        <v/>
      </c>
      <c r="B686" s="5" t="str">
        <f>IF($G686="","",INDEX('EDS Lookup'!$B$6:$B$2819,$G686))</f>
        <v/>
      </c>
      <c r="C686" s="17"/>
      <c r="D686" s="6"/>
      <c r="E686" s="7" t="str">
        <f>IF($G686="","",INDEX('EDS Lookup'!$F$6:$F$2819,$G686))</f>
        <v/>
      </c>
      <c r="F686" s="8" t="str">
        <f>IF($G686="","",INDEX('EDS Lookup'!$G$6:$G$2819,$G686))</f>
        <v/>
      </c>
      <c r="G686" t="str">
        <f>IF(663&lt;=$B$4,IFERROR(MATCH(663,'EDS Lookup'!$H$6:$H$2819,0),""),"")</f>
        <v/>
      </c>
      <c r="H686" t="str">
        <f t="shared" si="10"/>
        <v/>
      </c>
    </row>
    <row r="687" spans="1:8" ht="19.95" customHeight="1">
      <c r="A687" s="5" t="str">
        <f>IF($G687="","",INDEX('EDS Lookup'!$D$6:$D$2819,$G687))</f>
        <v/>
      </c>
      <c r="B687" s="5" t="str">
        <f>IF($G687="","",INDEX('EDS Lookup'!$B$6:$B$2819,$G687))</f>
        <v/>
      </c>
      <c r="C687" s="17"/>
      <c r="D687" s="6"/>
      <c r="E687" s="7" t="str">
        <f>IF($G687="","",INDEX('EDS Lookup'!$F$6:$F$2819,$G687))</f>
        <v/>
      </c>
      <c r="F687" s="8" t="str">
        <f>IF($G687="","",INDEX('EDS Lookup'!$G$6:$G$2819,$G687))</f>
        <v/>
      </c>
      <c r="G687" t="str">
        <f>IF(664&lt;=$B$4,IFERROR(MATCH(664,'EDS Lookup'!$H$6:$H$2819,0),""),"")</f>
        <v/>
      </c>
      <c r="H687" t="str">
        <f t="shared" si="10"/>
        <v/>
      </c>
    </row>
    <row r="688" spans="1:8" ht="19.95" customHeight="1">
      <c r="A688" s="5" t="str">
        <f>IF($G688="","",INDEX('EDS Lookup'!$D$6:$D$2819,$G688))</f>
        <v/>
      </c>
      <c r="B688" s="5" t="str">
        <f>IF($G688="","",INDEX('EDS Lookup'!$B$6:$B$2819,$G688))</f>
        <v/>
      </c>
      <c r="C688" s="17"/>
      <c r="D688" s="6"/>
      <c r="E688" s="7" t="str">
        <f>IF($G688="","",INDEX('EDS Lookup'!$F$6:$F$2819,$G688))</f>
        <v/>
      </c>
      <c r="F688" s="8" t="str">
        <f>IF($G688="","",INDEX('EDS Lookup'!$G$6:$G$2819,$G688))</f>
        <v/>
      </c>
      <c r="G688" t="str">
        <f>IF(665&lt;=$B$4,IFERROR(MATCH(665,'EDS Lookup'!$H$6:$H$2819,0),""),"")</f>
        <v/>
      </c>
      <c r="H688" t="str">
        <f t="shared" si="10"/>
        <v/>
      </c>
    </row>
    <row r="689" spans="1:8" ht="19.95" customHeight="1">
      <c r="A689" s="5" t="str">
        <f>IF($G689="","",INDEX('EDS Lookup'!$D$6:$D$2819,$G689))</f>
        <v/>
      </c>
      <c r="B689" s="5" t="str">
        <f>IF($G689="","",INDEX('EDS Lookup'!$B$6:$B$2819,$G689))</f>
        <v/>
      </c>
      <c r="C689" s="17"/>
      <c r="D689" s="6"/>
      <c r="E689" s="7" t="str">
        <f>IF($G689="","",INDEX('EDS Lookup'!$F$6:$F$2819,$G689))</f>
        <v/>
      </c>
      <c r="F689" s="8" t="str">
        <f>IF($G689="","",INDEX('EDS Lookup'!$G$6:$G$2819,$G689))</f>
        <v/>
      </c>
      <c r="G689" t="str">
        <f>IF(666&lt;=$B$4,IFERROR(MATCH(666,'EDS Lookup'!$H$6:$H$2819,0),""),"")</f>
        <v/>
      </c>
      <c r="H689" t="str">
        <f t="shared" si="10"/>
        <v/>
      </c>
    </row>
    <row r="690" spans="1:8" ht="19.95" customHeight="1">
      <c r="A690" s="5" t="str">
        <f>IF($G690="","",INDEX('EDS Lookup'!$D$6:$D$2819,$G690))</f>
        <v/>
      </c>
      <c r="B690" s="5" t="str">
        <f>IF($G690="","",INDEX('EDS Lookup'!$B$6:$B$2819,$G690))</f>
        <v/>
      </c>
      <c r="C690" s="17"/>
      <c r="D690" s="6"/>
      <c r="E690" s="7" t="str">
        <f>IF($G690="","",INDEX('EDS Lookup'!$F$6:$F$2819,$G690))</f>
        <v/>
      </c>
      <c r="F690" s="8" t="str">
        <f>IF($G690="","",INDEX('EDS Lookup'!$G$6:$G$2819,$G690))</f>
        <v/>
      </c>
      <c r="G690" t="str">
        <f>IF(667&lt;=$B$4,IFERROR(MATCH(667,'EDS Lookup'!$H$6:$H$2819,0),""),"")</f>
        <v/>
      </c>
      <c r="H690" t="str">
        <f t="shared" si="10"/>
        <v/>
      </c>
    </row>
    <row r="691" spans="1:8" ht="19.95" customHeight="1">
      <c r="A691" s="5" t="str">
        <f>IF($G691="","",INDEX('EDS Lookup'!$D$6:$D$2819,$G691))</f>
        <v/>
      </c>
      <c r="B691" s="5" t="str">
        <f>IF($G691="","",INDEX('EDS Lookup'!$B$6:$B$2819,$G691))</f>
        <v/>
      </c>
      <c r="C691" s="17"/>
      <c r="D691" s="6"/>
      <c r="E691" s="7" t="str">
        <f>IF($G691="","",INDEX('EDS Lookup'!$F$6:$F$2819,$G691))</f>
        <v/>
      </c>
      <c r="F691" s="8" t="str">
        <f>IF($G691="","",INDEX('EDS Lookup'!$G$6:$G$2819,$G691))</f>
        <v/>
      </c>
      <c r="G691" t="str">
        <f>IF(668&lt;=$B$4,IFERROR(MATCH(668,'EDS Lookup'!$H$6:$H$2819,0),""),"")</f>
        <v/>
      </c>
      <c r="H691" t="str">
        <f t="shared" si="10"/>
        <v/>
      </c>
    </row>
    <row r="692" spans="1:8" ht="19.95" customHeight="1">
      <c r="A692" s="5" t="str">
        <f>IF($G692="","",INDEX('EDS Lookup'!$D$6:$D$2819,$G692))</f>
        <v/>
      </c>
      <c r="B692" s="5" t="str">
        <f>IF($G692="","",INDEX('EDS Lookup'!$B$6:$B$2819,$G692))</f>
        <v/>
      </c>
      <c r="C692" s="17"/>
      <c r="D692" s="6"/>
      <c r="E692" s="7" t="str">
        <f>IF($G692="","",INDEX('EDS Lookup'!$F$6:$F$2819,$G692))</f>
        <v/>
      </c>
      <c r="F692" s="8" t="str">
        <f>IF($G692="","",INDEX('EDS Lookup'!$G$6:$G$2819,$G692))</f>
        <v/>
      </c>
      <c r="G692" t="str">
        <f>IF(669&lt;=$B$4,IFERROR(MATCH(669,'EDS Lookup'!$H$6:$H$2819,0),""),"")</f>
        <v/>
      </c>
      <c r="H692" t="str">
        <f t="shared" si="10"/>
        <v/>
      </c>
    </row>
    <row r="693" spans="1:8" ht="19.95" customHeight="1">
      <c r="A693" s="5" t="str">
        <f>IF($G693="","",INDEX('EDS Lookup'!$D$6:$D$2819,$G693))</f>
        <v/>
      </c>
      <c r="B693" s="5" t="str">
        <f>IF($G693="","",INDEX('EDS Lookup'!$B$6:$B$2819,$G693))</f>
        <v/>
      </c>
      <c r="C693" s="17"/>
      <c r="D693" s="6"/>
      <c r="E693" s="7" t="str">
        <f>IF($G693="","",INDEX('EDS Lookup'!$F$6:$F$2819,$G693))</f>
        <v/>
      </c>
      <c r="F693" s="8" t="str">
        <f>IF($G693="","",INDEX('EDS Lookup'!$G$6:$G$2819,$G693))</f>
        <v/>
      </c>
      <c r="G693" t="str">
        <f>IF(670&lt;=$B$4,IFERROR(MATCH(670,'EDS Lookup'!$H$6:$H$2819,0),""),"")</f>
        <v/>
      </c>
      <c r="H693" t="str">
        <f t="shared" si="10"/>
        <v/>
      </c>
    </row>
    <row r="694" spans="1:8" ht="19.95" customHeight="1">
      <c r="A694" s="5" t="str">
        <f>IF($G694="","",INDEX('EDS Lookup'!$D$6:$D$2819,$G694))</f>
        <v/>
      </c>
      <c r="B694" s="5" t="str">
        <f>IF($G694="","",INDEX('EDS Lookup'!$B$6:$B$2819,$G694))</f>
        <v/>
      </c>
      <c r="C694" s="17"/>
      <c r="D694" s="6"/>
      <c r="E694" s="7" t="str">
        <f>IF($G694="","",INDEX('EDS Lookup'!$F$6:$F$2819,$G694))</f>
        <v/>
      </c>
      <c r="F694" s="8" t="str">
        <f>IF($G694="","",INDEX('EDS Lookup'!$G$6:$G$2819,$G694))</f>
        <v/>
      </c>
      <c r="G694" t="str">
        <f>IF(671&lt;=$B$4,IFERROR(MATCH(671,'EDS Lookup'!$H$6:$H$2819,0),""),"")</f>
        <v/>
      </c>
      <c r="H694" t="str">
        <f t="shared" si="10"/>
        <v/>
      </c>
    </row>
    <row r="695" spans="1:8" ht="19.95" customHeight="1">
      <c r="A695" s="5" t="str">
        <f>IF($G695="","",INDEX('EDS Lookup'!$D$6:$D$2819,$G695))</f>
        <v/>
      </c>
      <c r="B695" s="5" t="str">
        <f>IF($G695="","",INDEX('EDS Lookup'!$B$6:$B$2819,$G695))</f>
        <v/>
      </c>
      <c r="C695" s="17"/>
      <c r="D695" s="6"/>
      <c r="E695" s="7" t="str">
        <f>IF($G695="","",INDEX('EDS Lookup'!$F$6:$F$2819,$G695))</f>
        <v/>
      </c>
      <c r="F695" s="8" t="str">
        <f>IF($G695="","",INDEX('EDS Lookup'!$G$6:$G$2819,$G695))</f>
        <v/>
      </c>
      <c r="G695" t="str">
        <f>IF(672&lt;=$B$4,IFERROR(MATCH(672,'EDS Lookup'!$H$6:$H$2819,0),""),"")</f>
        <v/>
      </c>
      <c r="H695" t="str">
        <f t="shared" si="10"/>
        <v/>
      </c>
    </row>
    <row r="696" spans="1:8" ht="19.95" customHeight="1">
      <c r="A696" s="5" t="str">
        <f>IF($G696="","",INDEX('EDS Lookup'!$D$6:$D$2819,$G696))</f>
        <v/>
      </c>
      <c r="B696" s="5" t="str">
        <f>IF($G696="","",INDEX('EDS Lookup'!$B$6:$B$2819,$G696))</f>
        <v/>
      </c>
      <c r="C696" s="17"/>
      <c r="D696" s="6"/>
      <c r="E696" s="7" t="str">
        <f>IF($G696="","",INDEX('EDS Lookup'!$F$6:$F$2819,$G696))</f>
        <v/>
      </c>
      <c r="F696" s="8" t="str">
        <f>IF($G696="","",INDEX('EDS Lookup'!$G$6:$G$2819,$G696))</f>
        <v/>
      </c>
      <c r="G696" t="str">
        <f>IF(673&lt;=$B$4,IFERROR(MATCH(673,'EDS Lookup'!$H$6:$H$2819,0),""),"")</f>
        <v/>
      </c>
      <c r="H696" t="str">
        <f t="shared" si="10"/>
        <v/>
      </c>
    </row>
    <row r="697" spans="1:8" ht="19.95" customHeight="1">
      <c r="A697" s="5" t="str">
        <f>IF($G697="","",INDEX('EDS Lookup'!$D$6:$D$2819,$G697))</f>
        <v/>
      </c>
      <c r="B697" s="5" t="str">
        <f>IF($G697="","",INDEX('EDS Lookup'!$B$6:$B$2819,$G697))</f>
        <v/>
      </c>
      <c r="C697" s="17"/>
      <c r="D697" s="6"/>
      <c r="E697" s="7" t="str">
        <f>IF($G697="","",INDEX('EDS Lookup'!$F$6:$F$2819,$G697))</f>
        <v/>
      </c>
      <c r="F697" s="8" t="str">
        <f>IF($G697="","",INDEX('EDS Lookup'!$G$6:$G$2819,$G697))</f>
        <v/>
      </c>
      <c r="G697" t="str">
        <f>IF(674&lt;=$B$4,IFERROR(MATCH(674,'EDS Lookup'!$H$6:$H$2819,0),""),"")</f>
        <v/>
      </c>
      <c r="H697" t="str">
        <f t="shared" si="10"/>
        <v/>
      </c>
    </row>
    <row r="698" spans="1:8" ht="19.95" customHeight="1">
      <c r="A698" s="5" t="str">
        <f>IF($G698="","",INDEX('EDS Lookup'!$D$6:$D$2819,$G698))</f>
        <v/>
      </c>
      <c r="B698" s="5" t="str">
        <f>IF($G698="","",INDEX('EDS Lookup'!$B$6:$B$2819,$G698))</f>
        <v/>
      </c>
      <c r="C698" s="17"/>
      <c r="D698" s="6"/>
      <c r="E698" s="7" t="str">
        <f>IF($G698="","",INDEX('EDS Lookup'!$F$6:$F$2819,$G698))</f>
        <v/>
      </c>
      <c r="F698" s="8" t="str">
        <f>IF($G698="","",INDEX('EDS Lookup'!$G$6:$G$2819,$G698))</f>
        <v/>
      </c>
      <c r="G698" t="str">
        <f>IF(675&lt;=$B$4,IFERROR(MATCH(675,'EDS Lookup'!$H$6:$H$2819,0),""),"")</f>
        <v/>
      </c>
      <c r="H698" t="str">
        <f t="shared" si="10"/>
        <v/>
      </c>
    </row>
    <row r="699" spans="1:8" ht="19.95" customHeight="1">
      <c r="A699" s="5" t="str">
        <f>IF($G699="","",INDEX('EDS Lookup'!$D$6:$D$2819,$G699))</f>
        <v/>
      </c>
      <c r="B699" s="5" t="str">
        <f>IF($G699="","",INDEX('EDS Lookup'!$B$6:$B$2819,$G699))</f>
        <v/>
      </c>
      <c r="C699" s="17"/>
      <c r="D699" s="6"/>
      <c r="E699" s="7" t="str">
        <f>IF($G699="","",INDEX('EDS Lookup'!$F$6:$F$2819,$G699))</f>
        <v/>
      </c>
      <c r="F699" s="8" t="str">
        <f>IF($G699="","",INDEX('EDS Lookup'!$G$6:$G$2819,$G699))</f>
        <v/>
      </c>
      <c r="G699" t="str">
        <f>IF(676&lt;=$B$4,IFERROR(MATCH(676,'EDS Lookup'!$H$6:$H$2819,0),""),"")</f>
        <v/>
      </c>
      <c r="H699" t="str">
        <f t="shared" si="10"/>
        <v/>
      </c>
    </row>
    <row r="700" spans="1:8" ht="19.95" customHeight="1">
      <c r="A700" s="5" t="str">
        <f>IF($G700="","",INDEX('EDS Lookup'!$D$6:$D$2819,$G700))</f>
        <v/>
      </c>
      <c r="B700" s="5" t="str">
        <f>IF($G700="","",INDEX('EDS Lookup'!$B$6:$B$2819,$G700))</f>
        <v/>
      </c>
      <c r="C700" s="17"/>
      <c r="D700" s="6"/>
      <c r="E700" s="7" t="str">
        <f>IF($G700="","",INDEX('EDS Lookup'!$F$6:$F$2819,$G700))</f>
        <v/>
      </c>
      <c r="F700" s="8" t="str">
        <f>IF($G700="","",INDEX('EDS Lookup'!$G$6:$G$2819,$G700))</f>
        <v/>
      </c>
      <c r="G700" t="str">
        <f>IF(677&lt;=$B$4,IFERROR(MATCH(677,'EDS Lookup'!$H$6:$H$2819,0),""),"")</f>
        <v/>
      </c>
      <c r="H700" t="str">
        <f t="shared" si="10"/>
        <v/>
      </c>
    </row>
    <row r="701" spans="1:8" ht="19.95" customHeight="1">
      <c r="A701" s="5" t="str">
        <f>IF($G701="","",INDEX('EDS Lookup'!$D$6:$D$2819,$G701))</f>
        <v/>
      </c>
      <c r="B701" s="5" t="str">
        <f>IF($G701="","",INDEX('EDS Lookup'!$B$6:$B$2819,$G701))</f>
        <v/>
      </c>
      <c r="C701" s="17"/>
      <c r="D701" s="6"/>
      <c r="E701" s="7" t="str">
        <f>IF($G701="","",INDEX('EDS Lookup'!$F$6:$F$2819,$G701))</f>
        <v/>
      </c>
      <c r="F701" s="8" t="str">
        <f>IF($G701="","",INDEX('EDS Lookup'!$G$6:$G$2819,$G701))</f>
        <v/>
      </c>
      <c r="G701" t="str">
        <f>IF(678&lt;=$B$4,IFERROR(MATCH(678,'EDS Lookup'!$H$6:$H$2819,0),""),"")</f>
        <v/>
      </c>
      <c r="H701" t="str">
        <f t="shared" si="10"/>
        <v/>
      </c>
    </row>
    <row r="702" spans="1:8" ht="19.95" customHeight="1">
      <c r="A702" s="5" t="str">
        <f>IF($G702="","",INDEX('EDS Lookup'!$D$6:$D$2819,$G702))</f>
        <v/>
      </c>
      <c r="B702" s="5" t="str">
        <f>IF($G702="","",INDEX('EDS Lookup'!$B$6:$B$2819,$G702))</f>
        <v/>
      </c>
      <c r="C702" s="17"/>
      <c r="D702" s="6"/>
      <c r="E702" s="7" t="str">
        <f>IF($G702="","",INDEX('EDS Lookup'!$F$6:$F$2819,$G702))</f>
        <v/>
      </c>
      <c r="F702" s="8" t="str">
        <f>IF($G702="","",INDEX('EDS Lookup'!$G$6:$G$2819,$G702))</f>
        <v/>
      </c>
      <c r="G702" t="str">
        <f>IF(679&lt;=$B$4,IFERROR(MATCH(679,'EDS Lookup'!$H$6:$H$2819,0),""),"")</f>
        <v/>
      </c>
      <c r="H702" t="str">
        <f t="shared" si="10"/>
        <v/>
      </c>
    </row>
    <row r="703" spans="1:8" ht="19.95" customHeight="1">
      <c r="A703" s="5" t="str">
        <f>IF($G703="","",INDEX('EDS Lookup'!$D$6:$D$2819,$G703))</f>
        <v/>
      </c>
      <c r="B703" s="5" t="str">
        <f>IF($G703="","",INDEX('EDS Lookup'!$B$6:$B$2819,$G703))</f>
        <v/>
      </c>
      <c r="C703" s="17"/>
      <c r="D703" s="6"/>
      <c r="E703" s="7" t="str">
        <f>IF($G703="","",INDEX('EDS Lookup'!$F$6:$F$2819,$G703))</f>
        <v/>
      </c>
      <c r="F703" s="8" t="str">
        <f>IF($G703="","",INDEX('EDS Lookup'!$G$6:$G$2819,$G703))</f>
        <v/>
      </c>
      <c r="G703" t="str">
        <f>IF(680&lt;=$B$4,IFERROR(MATCH(680,'EDS Lookup'!$H$6:$H$2819,0),""),"")</f>
        <v/>
      </c>
      <c r="H703" t="str">
        <f t="shared" si="10"/>
        <v/>
      </c>
    </row>
    <row r="704" spans="1:8" ht="19.95" customHeight="1">
      <c r="A704" s="5" t="str">
        <f>IF($G704="","",INDEX('EDS Lookup'!$D$6:$D$2819,$G704))</f>
        <v/>
      </c>
      <c r="B704" s="5" t="str">
        <f>IF($G704="","",INDEX('EDS Lookup'!$B$6:$B$2819,$G704))</f>
        <v/>
      </c>
      <c r="C704" s="17"/>
      <c r="D704" s="6"/>
      <c r="E704" s="7" t="str">
        <f>IF($G704="","",INDEX('EDS Lookup'!$F$6:$F$2819,$G704))</f>
        <v/>
      </c>
      <c r="F704" s="8" t="str">
        <f>IF($G704="","",INDEX('EDS Lookup'!$G$6:$G$2819,$G704))</f>
        <v/>
      </c>
      <c r="G704" t="str">
        <f>IF(681&lt;=$B$4,IFERROR(MATCH(681,'EDS Lookup'!$H$6:$H$2819,0),""),"")</f>
        <v/>
      </c>
      <c r="H704" t="str">
        <f t="shared" si="10"/>
        <v/>
      </c>
    </row>
    <row r="705" spans="1:8" ht="19.95" customHeight="1">
      <c r="A705" s="5" t="str">
        <f>IF($G705="","",INDEX('EDS Lookup'!$D$6:$D$2819,$G705))</f>
        <v/>
      </c>
      <c r="B705" s="5" t="str">
        <f>IF($G705="","",INDEX('EDS Lookup'!$B$6:$B$2819,$G705))</f>
        <v/>
      </c>
      <c r="C705" s="17"/>
      <c r="D705" s="6"/>
      <c r="E705" s="7" t="str">
        <f>IF($G705="","",INDEX('EDS Lookup'!$F$6:$F$2819,$G705))</f>
        <v/>
      </c>
      <c r="F705" s="8" t="str">
        <f>IF($G705="","",INDEX('EDS Lookup'!$G$6:$G$2819,$G705))</f>
        <v/>
      </c>
      <c r="G705" t="str">
        <f>IF(682&lt;=$B$4,IFERROR(MATCH(682,'EDS Lookup'!$H$6:$H$2819,0),""),"")</f>
        <v/>
      </c>
      <c r="H705" t="str">
        <f t="shared" si="10"/>
        <v/>
      </c>
    </row>
    <row r="706" spans="1:8" ht="19.95" customHeight="1">
      <c r="A706" s="5" t="str">
        <f>IF($G706="","",INDEX('EDS Lookup'!$D$6:$D$2819,$G706))</f>
        <v/>
      </c>
      <c r="B706" s="5" t="str">
        <f>IF($G706="","",INDEX('EDS Lookup'!$B$6:$B$2819,$G706))</f>
        <v/>
      </c>
      <c r="C706" s="17"/>
      <c r="D706" s="6"/>
      <c r="E706" s="7" t="str">
        <f>IF($G706="","",INDEX('EDS Lookup'!$F$6:$F$2819,$G706))</f>
        <v/>
      </c>
      <c r="F706" s="8" t="str">
        <f>IF($G706="","",INDEX('EDS Lookup'!$G$6:$G$2819,$G706))</f>
        <v/>
      </c>
      <c r="G706" t="str">
        <f>IF(683&lt;=$B$4,IFERROR(MATCH(683,'EDS Lookup'!$H$6:$H$2819,0),""),"")</f>
        <v/>
      </c>
      <c r="H706" t="str">
        <f t="shared" si="10"/>
        <v/>
      </c>
    </row>
    <row r="707" spans="1:8" ht="19.95" customHeight="1">
      <c r="A707" s="5" t="str">
        <f>IF($G707="","",INDEX('EDS Lookup'!$D$6:$D$2819,$G707))</f>
        <v/>
      </c>
      <c r="B707" s="5" t="str">
        <f>IF($G707="","",INDEX('EDS Lookup'!$B$6:$B$2819,$G707))</f>
        <v/>
      </c>
      <c r="C707" s="17"/>
      <c r="D707" s="6"/>
      <c r="E707" s="7" t="str">
        <f>IF($G707="","",INDEX('EDS Lookup'!$F$6:$F$2819,$G707))</f>
        <v/>
      </c>
      <c r="F707" s="8" t="str">
        <f>IF($G707="","",INDEX('EDS Lookup'!$G$6:$G$2819,$G707))</f>
        <v/>
      </c>
      <c r="G707" t="str">
        <f>IF(684&lt;=$B$4,IFERROR(MATCH(684,'EDS Lookup'!$H$6:$H$2819,0),""),"")</f>
        <v/>
      </c>
      <c r="H707" t="str">
        <f t="shared" si="10"/>
        <v/>
      </c>
    </row>
    <row r="708" spans="1:8" ht="19.95" customHeight="1">
      <c r="A708" s="5" t="str">
        <f>IF($G708="","",INDEX('EDS Lookup'!$D$6:$D$2819,$G708))</f>
        <v/>
      </c>
      <c r="B708" s="5" t="str">
        <f>IF($G708="","",INDEX('EDS Lookup'!$B$6:$B$2819,$G708))</f>
        <v/>
      </c>
      <c r="C708" s="17"/>
      <c r="D708" s="6"/>
      <c r="E708" s="7" t="str">
        <f>IF($G708="","",INDEX('EDS Lookup'!$F$6:$F$2819,$G708))</f>
        <v/>
      </c>
      <c r="F708" s="8" t="str">
        <f>IF($G708="","",INDEX('EDS Lookup'!$G$6:$G$2819,$G708))</f>
        <v/>
      </c>
      <c r="G708" t="str">
        <f>IF(685&lt;=$B$4,IFERROR(MATCH(685,'EDS Lookup'!$H$6:$H$2819,0),""),"")</f>
        <v/>
      </c>
      <c r="H708" t="str">
        <f t="shared" si="10"/>
        <v/>
      </c>
    </row>
    <row r="709" spans="1:8" ht="19.95" customHeight="1">
      <c r="A709" s="5" t="str">
        <f>IF($G709="","",INDEX('EDS Lookup'!$D$6:$D$2819,$G709))</f>
        <v/>
      </c>
      <c r="B709" s="5" t="str">
        <f>IF($G709="","",INDEX('EDS Lookup'!$B$6:$B$2819,$G709))</f>
        <v/>
      </c>
      <c r="C709" s="17"/>
      <c r="D709" s="6"/>
      <c r="E709" s="7" t="str">
        <f>IF($G709="","",INDEX('EDS Lookup'!$F$6:$F$2819,$G709))</f>
        <v/>
      </c>
      <c r="F709" s="8" t="str">
        <f>IF($G709="","",INDEX('EDS Lookup'!$G$6:$G$2819,$G709))</f>
        <v/>
      </c>
      <c r="G709" t="str">
        <f>IF(686&lt;=$B$4,IFERROR(MATCH(686,'EDS Lookup'!$H$6:$H$2819,0),""),"")</f>
        <v/>
      </c>
      <c r="H709" t="str">
        <f t="shared" si="10"/>
        <v/>
      </c>
    </row>
    <row r="710" spans="1:8" ht="19.95" customHeight="1">
      <c r="A710" s="5" t="str">
        <f>IF($G710="","",INDEX('EDS Lookup'!$D$6:$D$2819,$G710))</f>
        <v/>
      </c>
      <c r="B710" s="5" t="str">
        <f>IF($G710="","",INDEX('EDS Lookup'!$B$6:$B$2819,$G710))</f>
        <v/>
      </c>
      <c r="C710" s="17"/>
      <c r="D710" s="6"/>
      <c r="E710" s="7" t="str">
        <f>IF($G710="","",INDEX('EDS Lookup'!$F$6:$F$2819,$G710))</f>
        <v/>
      </c>
      <c r="F710" s="8" t="str">
        <f>IF($G710="","",INDEX('EDS Lookup'!$G$6:$G$2819,$G710))</f>
        <v/>
      </c>
      <c r="G710" t="str">
        <f>IF(687&lt;=$B$4,IFERROR(MATCH(687,'EDS Lookup'!$H$6:$H$2819,0),""),"")</f>
        <v/>
      </c>
      <c r="H710" t="str">
        <f t="shared" si="10"/>
        <v/>
      </c>
    </row>
    <row r="711" spans="1:8" ht="19.95" customHeight="1">
      <c r="A711" s="5" t="str">
        <f>IF($G711="","",INDEX('EDS Lookup'!$D$6:$D$2819,$G711))</f>
        <v/>
      </c>
      <c r="B711" s="5" t="str">
        <f>IF($G711="","",INDEX('EDS Lookup'!$B$6:$B$2819,$G711))</f>
        <v/>
      </c>
      <c r="C711" s="17"/>
      <c r="D711" s="6"/>
      <c r="E711" s="7" t="str">
        <f>IF($G711="","",INDEX('EDS Lookup'!$F$6:$F$2819,$G711))</f>
        <v/>
      </c>
      <c r="F711" s="8" t="str">
        <f>IF($G711="","",INDEX('EDS Lookup'!$G$6:$G$2819,$G711))</f>
        <v/>
      </c>
      <c r="G711" t="str">
        <f>IF(688&lt;=$B$4,IFERROR(MATCH(688,'EDS Lookup'!$H$6:$H$2819,0),""),"")</f>
        <v/>
      </c>
      <c r="H711" t="str">
        <f t="shared" si="10"/>
        <v/>
      </c>
    </row>
    <row r="712" spans="1:8" ht="19.95" customHeight="1">
      <c r="A712" s="5" t="str">
        <f>IF($G712="","",INDEX('EDS Lookup'!$D$6:$D$2819,$G712))</f>
        <v/>
      </c>
      <c r="B712" s="5" t="str">
        <f>IF($G712="","",INDEX('EDS Lookup'!$B$6:$B$2819,$G712))</f>
        <v/>
      </c>
      <c r="C712" s="17"/>
      <c r="D712" s="6"/>
      <c r="E712" s="7" t="str">
        <f>IF($G712="","",INDEX('EDS Lookup'!$F$6:$F$2819,$G712))</f>
        <v/>
      </c>
      <c r="F712" s="8" t="str">
        <f>IF($G712="","",INDEX('EDS Lookup'!$G$6:$G$2819,$G712))</f>
        <v/>
      </c>
      <c r="G712" t="str">
        <f>IF(689&lt;=$B$4,IFERROR(MATCH(689,'EDS Lookup'!$H$6:$H$2819,0),""),"")</f>
        <v/>
      </c>
      <c r="H712" t="str">
        <f t="shared" si="10"/>
        <v/>
      </c>
    </row>
    <row r="713" spans="1:8" ht="19.95" customHeight="1">
      <c r="A713" s="5" t="str">
        <f>IF($G713="","",INDEX('EDS Lookup'!$D$6:$D$2819,$G713))</f>
        <v/>
      </c>
      <c r="B713" s="5" t="str">
        <f>IF($G713="","",INDEX('EDS Lookup'!$B$6:$B$2819,$G713))</f>
        <v/>
      </c>
      <c r="C713" s="17"/>
      <c r="D713" s="6"/>
      <c r="E713" s="7" t="str">
        <f>IF($G713="","",INDEX('EDS Lookup'!$F$6:$F$2819,$G713))</f>
        <v/>
      </c>
      <c r="F713" s="8" t="str">
        <f>IF($G713="","",INDEX('EDS Lookup'!$G$6:$G$2819,$G713))</f>
        <v/>
      </c>
      <c r="G713" t="str">
        <f>IF(690&lt;=$B$4,IFERROR(MATCH(690,'EDS Lookup'!$H$6:$H$2819,0),""),"")</f>
        <v/>
      </c>
      <c r="H713" t="str">
        <f t="shared" si="10"/>
        <v/>
      </c>
    </row>
    <row r="714" spans="1:8" ht="19.95" customHeight="1">
      <c r="A714" s="5" t="str">
        <f>IF($G714="","",INDEX('EDS Lookup'!$D$6:$D$2819,$G714))</f>
        <v/>
      </c>
      <c r="B714" s="5" t="str">
        <f>IF($G714="","",INDEX('EDS Lookup'!$B$6:$B$2819,$G714))</f>
        <v/>
      </c>
      <c r="C714" s="17"/>
      <c r="D714" s="6"/>
      <c r="E714" s="7" t="str">
        <f>IF($G714="","",INDEX('EDS Lookup'!$F$6:$F$2819,$G714))</f>
        <v/>
      </c>
      <c r="F714" s="8" t="str">
        <f>IF($G714="","",INDEX('EDS Lookup'!$G$6:$G$2819,$G714))</f>
        <v/>
      </c>
      <c r="G714" t="str">
        <f>IF(691&lt;=$B$4,IFERROR(MATCH(691,'EDS Lookup'!$H$6:$H$2819,0),""),"")</f>
        <v/>
      </c>
      <c r="H714" t="str">
        <f t="shared" si="10"/>
        <v/>
      </c>
    </row>
    <row r="715" spans="1:8" ht="19.95" customHeight="1">
      <c r="A715" s="5" t="str">
        <f>IF($G715="","",INDEX('EDS Lookup'!$D$6:$D$2819,$G715))</f>
        <v/>
      </c>
      <c r="B715" s="5" t="str">
        <f>IF($G715="","",INDEX('EDS Lookup'!$B$6:$B$2819,$G715))</f>
        <v/>
      </c>
      <c r="C715" s="17"/>
      <c r="D715" s="6"/>
      <c r="E715" s="7" t="str">
        <f>IF($G715="","",INDEX('EDS Lookup'!$F$6:$F$2819,$G715))</f>
        <v/>
      </c>
      <c r="F715" s="8" t="str">
        <f>IF($G715="","",INDEX('EDS Lookup'!$G$6:$G$2819,$G715))</f>
        <v/>
      </c>
      <c r="G715" t="str">
        <f>IF(692&lt;=$B$4,IFERROR(MATCH(692,'EDS Lookup'!$H$6:$H$2819,0),""),"")</f>
        <v/>
      </c>
      <c r="H715" t="str">
        <f t="shared" si="10"/>
        <v/>
      </c>
    </row>
    <row r="716" spans="1:8" ht="19.95" customHeight="1">
      <c r="A716" s="5" t="str">
        <f>IF($G716="","",INDEX('EDS Lookup'!$D$6:$D$2819,$G716))</f>
        <v/>
      </c>
      <c r="B716" s="5" t="str">
        <f>IF($G716="","",INDEX('EDS Lookup'!$B$6:$B$2819,$G716))</f>
        <v/>
      </c>
      <c r="C716" s="17"/>
      <c r="D716" s="6"/>
      <c r="E716" s="7" t="str">
        <f>IF($G716="","",INDEX('EDS Lookup'!$F$6:$F$2819,$G716))</f>
        <v/>
      </c>
      <c r="F716" s="8" t="str">
        <f>IF($G716="","",INDEX('EDS Lookup'!$G$6:$G$2819,$G716))</f>
        <v/>
      </c>
      <c r="G716" t="str">
        <f>IF(693&lt;=$B$4,IFERROR(MATCH(693,'EDS Lookup'!$H$6:$H$2819,0),""),"")</f>
        <v/>
      </c>
      <c r="H716" t="str">
        <f t="shared" si="10"/>
        <v/>
      </c>
    </row>
    <row r="717" spans="1:8" ht="19.95" customHeight="1">
      <c r="A717" s="5" t="str">
        <f>IF($G717="","",INDEX('EDS Lookup'!$D$6:$D$2819,$G717))</f>
        <v/>
      </c>
      <c r="B717" s="5" t="str">
        <f>IF($G717="","",INDEX('EDS Lookup'!$B$6:$B$2819,$G717))</f>
        <v/>
      </c>
      <c r="C717" s="17"/>
      <c r="D717" s="6"/>
      <c r="E717" s="7" t="str">
        <f>IF($G717="","",INDEX('EDS Lookup'!$F$6:$F$2819,$G717))</f>
        <v/>
      </c>
      <c r="F717" s="8" t="str">
        <f>IF($G717="","",INDEX('EDS Lookup'!$G$6:$G$2819,$G717))</f>
        <v/>
      </c>
      <c r="G717" t="str">
        <f>IF(694&lt;=$B$4,IFERROR(MATCH(694,'EDS Lookup'!$H$6:$H$2819,0),""),"")</f>
        <v/>
      </c>
      <c r="H717" t="str">
        <f t="shared" si="10"/>
        <v/>
      </c>
    </row>
    <row r="718" spans="1:8" ht="19.95" customHeight="1">
      <c r="A718" s="5" t="str">
        <f>IF($G718="","",INDEX('EDS Lookup'!$D$6:$D$2819,$G718))</f>
        <v/>
      </c>
      <c r="B718" s="5" t="str">
        <f>IF($G718="","",INDEX('EDS Lookup'!$B$6:$B$2819,$G718))</f>
        <v/>
      </c>
      <c r="C718" s="17"/>
      <c r="D718" s="6"/>
      <c r="E718" s="7" t="str">
        <f>IF($G718="","",INDEX('EDS Lookup'!$F$6:$F$2819,$G718))</f>
        <v/>
      </c>
      <c r="F718" s="8" t="str">
        <f>IF($G718="","",INDEX('EDS Lookup'!$G$6:$G$2819,$G718))</f>
        <v/>
      </c>
      <c r="G718" t="str">
        <f>IF(695&lt;=$B$4,IFERROR(MATCH(695,'EDS Lookup'!$H$6:$H$2819,0),""),"")</f>
        <v/>
      </c>
      <c r="H718" t="str">
        <f t="shared" si="10"/>
        <v/>
      </c>
    </row>
    <row r="719" spans="1:8" ht="19.95" customHeight="1">
      <c r="A719" s="5" t="str">
        <f>IF($G719="","",INDEX('EDS Lookup'!$D$6:$D$2819,$G719))</f>
        <v/>
      </c>
      <c r="B719" s="5" t="str">
        <f>IF($G719="","",INDEX('EDS Lookup'!$B$6:$B$2819,$G719))</f>
        <v/>
      </c>
      <c r="C719" s="17"/>
      <c r="D719" s="6"/>
      <c r="E719" s="7" t="str">
        <f>IF($G719="","",INDEX('EDS Lookup'!$F$6:$F$2819,$G719))</f>
        <v/>
      </c>
      <c r="F719" s="8" t="str">
        <f>IF($G719="","",INDEX('EDS Lookup'!$G$6:$G$2819,$G719))</f>
        <v/>
      </c>
      <c r="G719" t="str">
        <f>IF(696&lt;=$B$4,IFERROR(MATCH(696,'EDS Lookup'!$H$6:$H$2819,0),""),"")</f>
        <v/>
      </c>
      <c r="H719" t="str">
        <f t="shared" si="10"/>
        <v/>
      </c>
    </row>
    <row r="720" spans="1:8" ht="19.95" customHeight="1">
      <c r="A720" s="5" t="str">
        <f>IF($G720="","",INDEX('EDS Lookup'!$D$6:$D$2819,$G720))</f>
        <v/>
      </c>
      <c r="B720" s="5" t="str">
        <f>IF($G720="","",INDEX('EDS Lookup'!$B$6:$B$2819,$G720))</f>
        <v/>
      </c>
      <c r="C720" s="17"/>
      <c r="D720" s="6"/>
      <c r="E720" s="7" t="str">
        <f>IF($G720="","",INDEX('EDS Lookup'!$F$6:$F$2819,$G720))</f>
        <v/>
      </c>
      <c r="F720" s="8" t="str">
        <f>IF($G720="","",INDEX('EDS Lookup'!$G$6:$G$2819,$G720))</f>
        <v/>
      </c>
      <c r="G720" t="str">
        <f>IF(697&lt;=$B$4,IFERROR(MATCH(697,'EDS Lookup'!$H$6:$H$2819,0),""),"")</f>
        <v/>
      </c>
      <c r="H720" t="str">
        <f t="shared" si="10"/>
        <v/>
      </c>
    </row>
    <row r="721" spans="1:8" ht="19.95" customHeight="1">
      <c r="A721" s="5" t="str">
        <f>IF($G721="","",INDEX('EDS Lookup'!$D$6:$D$2819,$G721))</f>
        <v/>
      </c>
      <c r="B721" s="5" t="str">
        <f>IF($G721="","",INDEX('EDS Lookup'!$B$6:$B$2819,$G721))</f>
        <v/>
      </c>
      <c r="C721" s="17"/>
      <c r="D721" s="6"/>
      <c r="E721" s="7" t="str">
        <f>IF($G721="","",INDEX('EDS Lookup'!$F$6:$F$2819,$G721))</f>
        <v/>
      </c>
      <c r="F721" s="8" t="str">
        <f>IF($G721="","",INDEX('EDS Lookup'!$G$6:$G$2819,$G721))</f>
        <v/>
      </c>
      <c r="G721" t="str">
        <f>IF(698&lt;=$B$4,IFERROR(MATCH(698,'EDS Lookup'!$H$6:$H$2819,0),""),"")</f>
        <v/>
      </c>
      <c r="H721" t="str">
        <f t="shared" si="10"/>
        <v/>
      </c>
    </row>
    <row r="722" spans="1:8" ht="19.95" customHeight="1">
      <c r="A722" s="5" t="str">
        <f>IF($G722="","",INDEX('EDS Lookup'!$D$6:$D$2819,$G722))</f>
        <v/>
      </c>
      <c r="B722" s="5" t="str">
        <f>IF($G722="","",INDEX('EDS Lookup'!$B$6:$B$2819,$G722))</f>
        <v/>
      </c>
      <c r="C722" s="17"/>
      <c r="D722" s="6"/>
      <c r="E722" s="7" t="str">
        <f>IF($G722="","",INDEX('EDS Lookup'!$F$6:$F$2819,$G722))</f>
        <v/>
      </c>
      <c r="F722" s="8" t="str">
        <f>IF($G722="","",INDEX('EDS Lookup'!$G$6:$G$2819,$G722))</f>
        <v/>
      </c>
      <c r="G722" t="str">
        <f>IF(699&lt;=$B$4,IFERROR(MATCH(699,'EDS Lookup'!$H$6:$H$2819,0),""),"")</f>
        <v/>
      </c>
      <c r="H722" t="str">
        <f t="shared" si="10"/>
        <v/>
      </c>
    </row>
    <row r="723" spans="1:8" ht="19.95" customHeight="1">
      <c r="A723" s="5" t="str">
        <f>IF($G723="","",INDEX('EDS Lookup'!$D$6:$D$2819,$G723))</f>
        <v/>
      </c>
      <c r="B723" s="5" t="str">
        <f>IF($G723="","",INDEX('EDS Lookup'!$B$6:$B$2819,$G723))</f>
        <v/>
      </c>
      <c r="C723" s="17"/>
      <c r="D723" s="6"/>
      <c r="E723" s="7" t="str">
        <f>IF($G723="","",INDEX('EDS Lookup'!$F$6:$F$2819,$G723))</f>
        <v/>
      </c>
      <c r="F723" s="8" t="str">
        <f>IF($G723="","",INDEX('EDS Lookup'!$G$6:$G$2819,$G723))</f>
        <v/>
      </c>
      <c r="G723" t="str">
        <f>IF(700&lt;=$B$4,IFERROR(MATCH(700,'EDS Lookup'!$H$6:$H$2819,0),""),"")</f>
        <v/>
      </c>
      <c r="H723" t="str">
        <f t="shared" si="10"/>
        <v/>
      </c>
    </row>
    <row r="724" spans="1:8" ht="19.95" customHeight="1">
      <c r="A724" s="5" t="str">
        <f>IF($G724="","",INDEX('EDS Lookup'!$D$6:$D$2819,$G724))</f>
        <v/>
      </c>
      <c r="B724" s="5" t="str">
        <f>IF($G724="","",INDEX('EDS Lookup'!$B$6:$B$2819,$G724))</f>
        <v/>
      </c>
      <c r="C724" s="17"/>
      <c r="D724" s="6"/>
      <c r="E724" s="7" t="str">
        <f>IF($G724="","",INDEX('EDS Lookup'!$F$6:$F$2819,$G724))</f>
        <v/>
      </c>
      <c r="F724" s="8" t="str">
        <f>IF($G724="","",INDEX('EDS Lookup'!$G$6:$G$2819,$G724))</f>
        <v/>
      </c>
      <c r="G724" t="str">
        <f>IF(701&lt;=$B$4,IFERROR(MATCH(701,'EDS Lookup'!$H$6:$H$2819,0),""),"")</f>
        <v/>
      </c>
      <c r="H724" t="str">
        <f t="shared" si="10"/>
        <v/>
      </c>
    </row>
    <row r="725" spans="1:8" ht="19.95" customHeight="1">
      <c r="A725" s="5" t="str">
        <f>IF($G725="","",INDEX('EDS Lookup'!$D$6:$D$2819,$G725))</f>
        <v/>
      </c>
      <c r="B725" s="5" t="str">
        <f>IF($G725="","",INDEX('EDS Lookup'!$B$6:$B$2819,$G725))</f>
        <v/>
      </c>
      <c r="C725" s="17"/>
      <c r="D725" s="6"/>
      <c r="E725" s="7" t="str">
        <f>IF($G725="","",INDEX('EDS Lookup'!$F$6:$F$2819,$G725))</f>
        <v/>
      </c>
      <c r="F725" s="8" t="str">
        <f>IF($G725="","",INDEX('EDS Lookup'!$G$6:$G$2819,$G725))</f>
        <v/>
      </c>
      <c r="G725" t="str">
        <f>IF(702&lt;=$B$4,IFERROR(MATCH(702,'EDS Lookup'!$H$6:$H$2819,0),""),"")</f>
        <v/>
      </c>
      <c r="H725" t="str">
        <f t="shared" si="10"/>
        <v/>
      </c>
    </row>
    <row r="726" spans="1:8" ht="19.95" customHeight="1">
      <c r="A726" s="5" t="str">
        <f>IF($G726="","",INDEX('EDS Lookup'!$D$6:$D$2819,$G726))</f>
        <v/>
      </c>
      <c r="B726" s="5" t="str">
        <f>IF($G726="","",INDEX('EDS Lookup'!$B$6:$B$2819,$G726))</f>
        <v/>
      </c>
      <c r="C726" s="17"/>
      <c r="D726" s="6"/>
      <c r="E726" s="7" t="str">
        <f>IF($G726="","",INDEX('EDS Lookup'!$F$6:$F$2819,$G726))</f>
        <v/>
      </c>
      <c r="F726" s="8" t="str">
        <f>IF($G726="","",INDEX('EDS Lookup'!$G$6:$G$2819,$G726))</f>
        <v/>
      </c>
      <c r="G726" t="str">
        <f>IF(703&lt;=$B$4,IFERROR(MATCH(703,'EDS Lookup'!$H$6:$H$2819,0),""),"")</f>
        <v/>
      </c>
      <c r="H726" t="str">
        <f t="shared" si="10"/>
        <v/>
      </c>
    </row>
    <row r="727" spans="1:8" ht="19.95" customHeight="1">
      <c r="A727" s="5" t="str">
        <f>IF($G727="","",INDEX('EDS Lookup'!$D$6:$D$2819,$G727))</f>
        <v/>
      </c>
      <c r="B727" s="5" t="str">
        <f>IF($G727="","",INDEX('EDS Lookup'!$B$6:$B$2819,$G727))</f>
        <v/>
      </c>
      <c r="C727" s="17"/>
      <c r="D727" s="6"/>
      <c r="E727" s="7" t="str">
        <f>IF($G727="","",INDEX('EDS Lookup'!$F$6:$F$2819,$G727))</f>
        <v/>
      </c>
      <c r="F727" s="8" t="str">
        <f>IF($G727="","",INDEX('EDS Lookup'!$G$6:$G$2819,$G727))</f>
        <v/>
      </c>
      <c r="G727" t="str">
        <f>IF(704&lt;=$B$4,IFERROR(MATCH(704,'EDS Lookup'!$H$6:$H$2819,0),""),"")</f>
        <v/>
      </c>
      <c r="H727" t="str">
        <f t="shared" si="10"/>
        <v/>
      </c>
    </row>
    <row r="728" spans="1:8" ht="19.95" customHeight="1">
      <c r="A728" s="5" t="str">
        <f>IF($G728="","",INDEX('EDS Lookup'!$D$6:$D$2819,$G728))</f>
        <v/>
      </c>
      <c r="B728" s="5" t="str">
        <f>IF($G728="","",INDEX('EDS Lookup'!$B$6:$B$2819,$G728))</f>
        <v/>
      </c>
      <c r="C728" s="17"/>
      <c r="D728" s="6"/>
      <c r="E728" s="7" t="str">
        <f>IF($G728="","",INDEX('EDS Lookup'!$F$6:$F$2819,$G728))</f>
        <v/>
      </c>
      <c r="F728" s="8" t="str">
        <f>IF($G728="","",INDEX('EDS Lookup'!$G$6:$G$2819,$G728))</f>
        <v/>
      </c>
      <c r="G728" t="str">
        <f>IF(705&lt;=$B$4,IFERROR(MATCH(705,'EDS Lookup'!$H$6:$H$2819,0),""),"")</f>
        <v/>
      </c>
      <c r="H728" t="str">
        <f t="shared" ref="H728:H791" si="11">IF(F728="&lt;5",5,IF(F728="&gt;95",95,IF(ISNUMBER(F728),F728,"")))</f>
        <v/>
      </c>
    </row>
    <row r="729" spans="1:8" ht="19.95" customHeight="1">
      <c r="A729" s="5" t="str">
        <f>IF($G729="","",INDEX('EDS Lookup'!$D$6:$D$2819,$G729))</f>
        <v/>
      </c>
      <c r="B729" s="5" t="str">
        <f>IF($G729="","",INDEX('EDS Lookup'!$B$6:$B$2819,$G729))</f>
        <v/>
      </c>
      <c r="C729" s="17"/>
      <c r="D729" s="6"/>
      <c r="E729" s="7" t="str">
        <f>IF($G729="","",INDEX('EDS Lookup'!$F$6:$F$2819,$G729))</f>
        <v/>
      </c>
      <c r="F729" s="8" t="str">
        <f>IF($G729="","",INDEX('EDS Lookup'!$G$6:$G$2819,$G729))</f>
        <v/>
      </c>
      <c r="G729" t="str">
        <f>IF(706&lt;=$B$4,IFERROR(MATCH(706,'EDS Lookup'!$H$6:$H$2819,0),""),"")</f>
        <v/>
      </c>
      <c r="H729" t="str">
        <f t="shared" si="11"/>
        <v/>
      </c>
    </row>
    <row r="730" spans="1:8" ht="19.95" customHeight="1">
      <c r="A730" s="5" t="str">
        <f>IF($G730="","",INDEX('EDS Lookup'!$D$6:$D$2819,$G730))</f>
        <v/>
      </c>
      <c r="B730" s="5" t="str">
        <f>IF($G730="","",INDEX('EDS Lookup'!$B$6:$B$2819,$G730))</f>
        <v/>
      </c>
      <c r="C730" s="17"/>
      <c r="D730" s="6"/>
      <c r="E730" s="7" t="str">
        <f>IF($G730="","",INDEX('EDS Lookup'!$F$6:$F$2819,$G730))</f>
        <v/>
      </c>
      <c r="F730" s="8" t="str">
        <f>IF($G730="","",INDEX('EDS Lookup'!$G$6:$G$2819,$G730))</f>
        <v/>
      </c>
      <c r="G730" t="str">
        <f>IF(707&lt;=$B$4,IFERROR(MATCH(707,'EDS Lookup'!$H$6:$H$2819,0),""),"")</f>
        <v/>
      </c>
      <c r="H730" t="str">
        <f t="shared" si="11"/>
        <v/>
      </c>
    </row>
    <row r="731" spans="1:8" ht="19.95" customHeight="1">
      <c r="A731" s="5" t="str">
        <f>IF($G731="","",INDEX('EDS Lookup'!$D$6:$D$2819,$G731))</f>
        <v/>
      </c>
      <c r="B731" s="5" t="str">
        <f>IF($G731="","",INDEX('EDS Lookup'!$B$6:$B$2819,$G731))</f>
        <v/>
      </c>
      <c r="C731" s="17"/>
      <c r="D731" s="6"/>
      <c r="E731" s="7" t="str">
        <f>IF($G731="","",INDEX('EDS Lookup'!$F$6:$F$2819,$G731))</f>
        <v/>
      </c>
      <c r="F731" s="8" t="str">
        <f>IF($G731="","",INDEX('EDS Lookup'!$G$6:$G$2819,$G731))</f>
        <v/>
      </c>
      <c r="G731" t="str">
        <f>IF(708&lt;=$B$4,IFERROR(MATCH(708,'EDS Lookup'!$H$6:$H$2819,0),""),"")</f>
        <v/>
      </c>
      <c r="H731" t="str">
        <f t="shared" si="11"/>
        <v/>
      </c>
    </row>
    <row r="732" spans="1:8" ht="19.95" customHeight="1">
      <c r="A732" s="5" t="str">
        <f>IF($G732="","",INDEX('EDS Lookup'!$D$6:$D$2819,$G732))</f>
        <v/>
      </c>
      <c r="B732" s="5" t="str">
        <f>IF($G732="","",INDEX('EDS Lookup'!$B$6:$B$2819,$G732))</f>
        <v/>
      </c>
      <c r="C732" s="17"/>
      <c r="D732" s="6"/>
      <c r="E732" s="7" t="str">
        <f>IF($G732="","",INDEX('EDS Lookup'!$F$6:$F$2819,$G732))</f>
        <v/>
      </c>
      <c r="F732" s="8" t="str">
        <f>IF($G732="","",INDEX('EDS Lookup'!$G$6:$G$2819,$G732))</f>
        <v/>
      </c>
      <c r="G732" t="str">
        <f>IF(709&lt;=$B$4,IFERROR(MATCH(709,'EDS Lookup'!$H$6:$H$2819,0),""),"")</f>
        <v/>
      </c>
      <c r="H732" t="str">
        <f t="shared" si="11"/>
        <v/>
      </c>
    </row>
    <row r="733" spans="1:8" ht="19.95" customHeight="1">
      <c r="A733" s="5" t="str">
        <f>IF($G733="","",INDEX('EDS Lookup'!$D$6:$D$2819,$G733))</f>
        <v/>
      </c>
      <c r="B733" s="5" t="str">
        <f>IF($G733="","",INDEX('EDS Lookup'!$B$6:$B$2819,$G733))</f>
        <v/>
      </c>
      <c r="C733" s="17"/>
      <c r="D733" s="6"/>
      <c r="E733" s="7" t="str">
        <f>IF($G733="","",INDEX('EDS Lookup'!$F$6:$F$2819,$G733))</f>
        <v/>
      </c>
      <c r="F733" s="8" t="str">
        <f>IF($G733="","",INDEX('EDS Lookup'!$G$6:$G$2819,$G733))</f>
        <v/>
      </c>
      <c r="G733" t="str">
        <f>IF(710&lt;=$B$4,IFERROR(MATCH(710,'EDS Lookup'!$H$6:$H$2819,0),""),"")</f>
        <v/>
      </c>
      <c r="H733" t="str">
        <f t="shared" si="11"/>
        <v/>
      </c>
    </row>
    <row r="734" spans="1:8" ht="19.95" customHeight="1">
      <c r="A734" s="5" t="str">
        <f>IF($G734="","",INDEX('EDS Lookup'!$D$6:$D$2819,$G734))</f>
        <v/>
      </c>
      <c r="B734" s="5" t="str">
        <f>IF($G734="","",INDEX('EDS Lookup'!$B$6:$B$2819,$G734))</f>
        <v/>
      </c>
      <c r="C734" s="17"/>
      <c r="D734" s="6"/>
      <c r="E734" s="7" t="str">
        <f>IF($G734="","",INDEX('EDS Lookup'!$F$6:$F$2819,$G734))</f>
        <v/>
      </c>
      <c r="F734" s="8" t="str">
        <f>IF($G734="","",INDEX('EDS Lookup'!$G$6:$G$2819,$G734))</f>
        <v/>
      </c>
      <c r="G734" t="str">
        <f>IF(711&lt;=$B$4,IFERROR(MATCH(711,'EDS Lookup'!$H$6:$H$2819,0),""),"")</f>
        <v/>
      </c>
      <c r="H734" t="str">
        <f t="shared" si="11"/>
        <v/>
      </c>
    </row>
    <row r="735" spans="1:8" ht="19.95" customHeight="1">
      <c r="A735" s="5" t="str">
        <f>IF($G735="","",INDEX('EDS Lookup'!$D$6:$D$2819,$G735))</f>
        <v/>
      </c>
      <c r="B735" s="5" t="str">
        <f>IF($G735="","",INDEX('EDS Lookup'!$B$6:$B$2819,$G735))</f>
        <v/>
      </c>
      <c r="C735" s="17"/>
      <c r="D735" s="6"/>
      <c r="E735" s="7" t="str">
        <f>IF($G735="","",INDEX('EDS Lookup'!$F$6:$F$2819,$G735))</f>
        <v/>
      </c>
      <c r="F735" s="8" t="str">
        <f>IF($G735="","",INDEX('EDS Lookup'!$G$6:$G$2819,$G735))</f>
        <v/>
      </c>
      <c r="G735" t="str">
        <f>IF(712&lt;=$B$4,IFERROR(MATCH(712,'EDS Lookup'!$H$6:$H$2819,0),""),"")</f>
        <v/>
      </c>
      <c r="H735" t="str">
        <f t="shared" si="11"/>
        <v/>
      </c>
    </row>
    <row r="736" spans="1:8" ht="19.95" customHeight="1">
      <c r="A736" s="5" t="str">
        <f>IF($G736="","",INDEX('EDS Lookup'!$D$6:$D$2819,$G736))</f>
        <v/>
      </c>
      <c r="B736" s="5" t="str">
        <f>IF($G736="","",INDEX('EDS Lookup'!$B$6:$B$2819,$G736))</f>
        <v/>
      </c>
      <c r="C736" s="17"/>
      <c r="D736" s="6"/>
      <c r="E736" s="7" t="str">
        <f>IF($G736="","",INDEX('EDS Lookup'!$F$6:$F$2819,$G736))</f>
        <v/>
      </c>
      <c r="F736" s="8" t="str">
        <f>IF($G736="","",INDEX('EDS Lookup'!$G$6:$G$2819,$G736))</f>
        <v/>
      </c>
      <c r="G736" t="str">
        <f>IF(713&lt;=$B$4,IFERROR(MATCH(713,'EDS Lookup'!$H$6:$H$2819,0),""),"")</f>
        <v/>
      </c>
      <c r="H736" t="str">
        <f t="shared" si="11"/>
        <v/>
      </c>
    </row>
    <row r="737" spans="1:8" ht="19.95" customHeight="1">
      <c r="A737" s="5" t="str">
        <f>IF($G737="","",INDEX('EDS Lookup'!$D$6:$D$2819,$G737))</f>
        <v/>
      </c>
      <c r="B737" s="5" t="str">
        <f>IF($G737="","",INDEX('EDS Lookup'!$B$6:$B$2819,$G737))</f>
        <v/>
      </c>
      <c r="C737" s="17"/>
      <c r="D737" s="6"/>
      <c r="E737" s="7" t="str">
        <f>IF($G737="","",INDEX('EDS Lookup'!$F$6:$F$2819,$G737))</f>
        <v/>
      </c>
      <c r="F737" s="8" t="str">
        <f>IF($G737="","",INDEX('EDS Lookup'!$G$6:$G$2819,$G737))</f>
        <v/>
      </c>
      <c r="G737" t="str">
        <f>IF(714&lt;=$B$4,IFERROR(MATCH(714,'EDS Lookup'!$H$6:$H$2819,0),""),"")</f>
        <v/>
      </c>
      <c r="H737" t="str">
        <f t="shared" si="11"/>
        <v/>
      </c>
    </row>
    <row r="738" spans="1:8" ht="19.95" customHeight="1">
      <c r="A738" s="5" t="str">
        <f>IF($G738="","",INDEX('EDS Lookup'!$D$6:$D$2819,$G738))</f>
        <v/>
      </c>
      <c r="B738" s="5" t="str">
        <f>IF($G738="","",INDEX('EDS Lookup'!$B$6:$B$2819,$G738))</f>
        <v/>
      </c>
      <c r="C738" s="17"/>
      <c r="D738" s="6"/>
      <c r="E738" s="7" t="str">
        <f>IF($G738="","",INDEX('EDS Lookup'!$F$6:$F$2819,$G738))</f>
        <v/>
      </c>
      <c r="F738" s="8" t="str">
        <f>IF($G738="","",INDEX('EDS Lookup'!$G$6:$G$2819,$G738))</f>
        <v/>
      </c>
      <c r="G738" t="str">
        <f>IF(715&lt;=$B$4,IFERROR(MATCH(715,'EDS Lookup'!$H$6:$H$2819,0),""),"")</f>
        <v/>
      </c>
      <c r="H738" t="str">
        <f t="shared" si="11"/>
        <v/>
      </c>
    </row>
    <row r="739" spans="1:8" ht="19.95" customHeight="1">
      <c r="A739" s="5" t="str">
        <f>IF($G739="","",INDEX('EDS Lookup'!$D$6:$D$2819,$G739))</f>
        <v/>
      </c>
      <c r="B739" s="5" t="str">
        <f>IF($G739="","",INDEX('EDS Lookup'!$B$6:$B$2819,$G739))</f>
        <v/>
      </c>
      <c r="C739" s="17"/>
      <c r="D739" s="6"/>
      <c r="E739" s="7" t="str">
        <f>IF($G739="","",INDEX('EDS Lookup'!$F$6:$F$2819,$G739))</f>
        <v/>
      </c>
      <c r="F739" s="8" t="str">
        <f>IF($G739="","",INDEX('EDS Lookup'!$G$6:$G$2819,$G739))</f>
        <v/>
      </c>
      <c r="G739" t="str">
        <f>IF(716&lt;=$B$4,IFERROR(MATCH(716,'EDS Lookup'!$H$6:$H$2819,0),""),"")</f>
        <v/>
      </c>
      <c r="H739" t="str">
        <f t="shared" si="11"/>
        <v/>
      </c>
    </row>
    <row r="740" spans="1:8" ht="19.95" customHeight="1">
      <c r="A740" s="5" t="str">
        <f>IF($G740="","",INDEX('EDS Lookup'!$D$6:$D$2819,$G740))</f>
        <v/>
      </c>
      <c r="B740" s="5" t="str">
        <f>IF($G740="","",INDEX('EDS Lookup'!$B$6:$B$2819,$G740))</f>
        <v/>
      </c>
      <c r="C740" s="17"/>
      <c r="D740" s="6"/>
      <c r="E740" s="7" t="str">
        <f>IF($G740="","",INDEX('EDS Lookup'!$F$6:$F$2819,$G740))</f>
        <v/>
      </c>
      <c r="F740" s="8" t="str">
        <f>IF($G740="","",INDEX('EDS Lookup'!$G$6:$G$2819,$G740))</f>
        <v/>
      </c>
      <c r="G740" t="str">
        <f>IF(717&lt;=$B$4,IFERROR(MATCH(717,'EDS Lookup'!$H$6:$H$2819,0),""),"")</f>
        <v/>
      </c>
      <c r="H740" t="str">
        <f t="shared" si="11"/>
        <v/>
      </c>
    </row>
    <row r="741" spans="1:8" ht="19.95" customHeight="1">
      <c r="A741" s="5" t="str">
        <f>IF($G741="","",INDEX('EDS Lookup'!$D$6:$D$2819,$G741))</f>
        <v/>
      </c>
      <c r="B741" s="5" t="str">
        <f>IF($G741="","",INDEX('EDS Lookup'!$B$6:$B$2819,$G741))</f>
        <v/>
      </c>
      <c r="C741" s="17"/>
      <c r="D741" s="6"/>
      <c r="E741" s="7" t="str">
        <f>IF($G741="","",INDEX('EDS Lookup'!$F$6:$F$2819,$G741))</f>
        <v/>
      </c>
      <c r="F741" s="8" t="str">
        <f>IF($G741="","",INDEX('EDS Lookup'!$G$6:$G$2819,$G741))</f>
        <v/>
      </c>
      <c r="G741" t="str">
        <f>IF(718&lt;=$B$4,IFERROR(MATCH(718,'EDS Lookup'!$H$6:$H$2819,0),""),"")</f>
        <v/>
      </c>
      <c r="H741" t="str">
        <f t="shared" si="11"/>
        <v/>
      </c>
    </row>
    <row r="742" spans="1:8" ht="19.95" customHeight="1">
      <c r="A742" s="5" t="str">
        <f>IF($G742="","",INDEX('EDS Lookup'!$D$6:$D$2819,$G742))</f>
        <v/>
      </c>
      <c r="B742" s="5" t="str">
        <f>IF($G742="","",INDEX('EDS Lookup'!$B$6:$B$2819,$G742))</f>
        <v/>
      </c>
      <c r="C742" s="17"/>
      <c r="D742" s="6"/>
      <c r="E742" s="7" t="str">
        <f>IF($G742="","",INDEX('EDS Lookup'!$F$6:$F$2819,$G742))</f>
        <v/>
      </c>
      <c r="F742" s="8" t="str">
        <f>IF($G742="","",INDEX('EDS Lookup'!$G$6:$G$2819,$G742))</f>
        <v/>
      </c>
      <c r="G742" t="str">
        <f>IF(719&lt;=$B$4,IFERROR(MATCH(719,'EDS Lookup'!$H$6:$H$2819,0),""),"")</f>
        <v/>
      </c>
      <c r="H742" t="str">
        <f t="shared" si="11"/>
        <v/>
      </c>
    </row>
    <row r="743" spans="1:8" ht="19.95" customHeight="1">
      <c r="A743" s="5" t="str">
        <f>IF($G743="","",INDEX('EDS Lookup'!$D$6:$D$2819,$G743))</f>
        <v/>
      </c>
      <c r="B743" s="5" t="str">
        <f>IF($G743="","",INDEX('EDS Lookup'!$B$6:$B$2819,$G743))</f>
        <v/>
      </c>
      <c r="C743" s="17"/>
      <c r="D743" s="6"/>
      <c r="E743" s="7" t="str">
        <f>IF($G743="","",INDEX('EDS Lookup'!$F$6:$F$2819,$G743))</f>
        <v/>
      </c>
      <c r="F743" s="8" t="str">
        <f>IF($G743="","",INDEX('EDS Lookup'!$G$6:$G$2819,$G743))</f>
        <v/>
      </c>
      <c r="G743" t="str">
        <f>IF(720&lt;=$B$4,IFERROR(MATCH(720,'EDS Lookup'!$H$6:$H$2819,0),""),"")</f>
        <v/>
      </c>
      <c r="H743" t="str">
        <f t="shared" si="11"/>
        <v/>
      </c>
    </row>
    <row r="744" spans="1:8" ht="19.95" customHeight="1">
      <c r="A744" s="5" t="str">
        <f>IF($G744="","",INDEX('EDS Lookup'!$D$6:$D$2819,$G744))</f>
        <v/>
      </c>
      <c r="B744" s="5" t="str">
        <f>IF($G744="","",INDEX('EDS Lookup'!$B$6:$B$2819,$G744))</f>
        <v/>
      </c>
      <c r="C744" s="17"/>
      <c r="D744" s="6"/>
      <c r="E744" s="7" t="str">
        <f>IF($G744="","",INDEX('EDS Lookup'!$F$6:$F$2819,$G744))</f>
        <v/>
      </c>
      <c r="F744" s="8" t="str">
        <f>IF($G744="","",INDEX('EDS Lookup'!$G$6:$G$2819,$G744))</f>
        <v/>
      </c>
      <c r="G744" t="str">
        <f>IF(721&lt;=$B$4,IFERROR(MATCH(721,'EDS Lookup'!$H$6:$H$2819,0),""),"")</f>
        <v/>
      </c>
      <c r="H744" t="str">
        <f t="shared" si="11"/>
        <v/>
      </c>
    </row>
    <row r="745" spans="1:8" ht="19.95" customHeight="1">
      <c r="A745" s="5" t="str">
        <f>IF($G745="","",INDEX('EDS Lookup'!$D$6:$D$2819,$G745))</f>
        <v/>
      </c>
      <c r="B745" s="5" t="str">
        <f>IF($G745="","",INDEX('EDS Lookup'!$B$6:$B$2819,$G745))</f>
        <v/>
      </c>
      <c r="C745" s="17"/>
      <c r="D745" s="6"/>
      <c r="E745" s="7" t="str">
        <f>IF($G745="","",INDEX('EDS Lookup'!$F$6:$F$2819,$G745))</f>
        <v/>
      </c>
      <c r="F745" s="8" t="str">
        <f>IF($G745="","",INDEX('EDS Lookup'!$G$6:$G$2819,$G745))</f>
        <v/>
      </c>
      <c r="G745" t="str">
        <f>IF(722&lt;=$B$4,IFERROR(MATCH(722,'EDS Lookup'!$H$6:$H$2819,0),""),"")</f>
        <v/>
      </c>
      <c r="H745" t="str">
        <f t="shared" si="11"/>
        <v/>
      </c>
    </row>
    <row r="746" spans="1:8" ht="19.95" customHeight="1">
      <c r="A746" s="5" t="str">
        <f>IF($G746="","",INDEX('EDS Lookup'!$D$6:$D$2819,$G746))</f>
        <v/>
      </c>
      <c r="B746" s="5" t="str">
        <f>IF($G746="","",INDEX('EDS Lookup'!$B$6:$B$2819,$G746))</f>
        <v/>
      </c>
      <c r="C746" s="17"/>
      <c r="D746" s="6"/>
      <c r="E746" s="7" t="str">
        <f>IF($G746="","",INDEX('EDS Lookup'!$F$6:$F$2819,$G746))</f>
        <v/>
      </c>
      <c r="F746" s="8" t="str">
        <f>IF($G746="","",INDEX('EDS Lookup'!$G$6:$G$2819,$G746))</f>
        <v/>
      </c>
      <c r="G746" t="str">
        <f>IF(723&lt;=$B$4,IFERROR(MATCH(723,'EDS Lookup'!$H$6:$H$2819,0),""),"")</f>
        <v/>
      </c>
      <c r="H746" t="str">
        <f t="shared" si="11"/>
        <v/>
      </c>
    </row>
    <row r="747" spans="1:8" ht="19.95" customHeight="1">
      <c r="A747" s="5" t="str">
        <f>IF($G747="","",INDEX('EDS Lookup'!$D$6:$D$2819,$G747))</f>
        <v/>
      </c>
      <c r="B747" s="5" t="str">
        <f>IF($G747="","",INDEX('EDS Lookup'!$B$6:$B$2819,$G747))</f>
        <v/>
      </c>
      <c r="C747" s="17"/>
      <c r="D747" s="6"/>
      <c r="E747" s="7" t="str">
        <f>IF($G747="","",INDEX('EDS Lookup'!$F$6:$F$2819,$G747))</f>
        <v/>
      </c>
      <c r="F747" s="8" t="str">
        <f>IF($G747="","",INDEX('EDS Lookup'!$G$6:$G$2819,$G747))</f>
        <v/>
      </c>
      <c r="G747" t="str">
        <f>IF(724&lt;=$B$4,IFERROR(MATCH(724,'EDS Lookup'!$H$6:$H$2819,0),""),"")</f>
        <v/>
      </c>
      <c r="H747" t="str">
        <f t="shared" si="11"/>
        <v/>
      </c>
    </row>
    <row r="748" spans="1:8" ht="19.95" customHeight="1">
      <c r="A748" s="5" t="str">
        <f>IF($G748="","",INDEX('EDS Lookup'!$D$6:$D$2819,$G748))</f>
        <v/>
      </c>
      <c r="B748" s="5" t="str">
        <f>IF($G748="","",INDEX('EDS Lookup'!$B$6:$B$2819,$G748))</f>
        <v/>
      </c>
      <c r="C748" s="17"/>
      <c r="D748" s="6"/>
      <c r="E748" s="7" t="str">
        <f>IF($G748="","",INDEX('EDS Lookup'!$F$6:$F$2819,$G748))</f>
        <v/>
      </c>
      <c r="F748" s="8" t="str">
        <f>IF($G748="","",INDEX('EDS Lookup'!$G$6:$G$2819,$G748))</f>
        <v/>
      </c>
      <c r="G748" t="str">
        <f>IF(725&lt;=$B$4,IFERROR(MATCH(725,'EDS Lookup'!$H$6:$H$2819,0),""),"")</f>
        <v/>
      </c>
      <c r="H748" t="str">
        <f t="shared" si="11"/>
        <v/>
      </c>
    </row>
    <row r="749" spans="1:8" ht="19.95" customHeight="1">
      <c r="A749" s="5" t="str">
        <f>IF($G749="","",INDEX('EDS Lookup'!$D$6:$D$2819,$G749))</f>
        <v/>
      </c>
      <c r="B749" s="5" t="str">
        <f>IF($G749="","",INDEX('EDS Lookup'!$B$6:$B$2819,$G749))</f>
        <v/>
      </c>
      <c r="C749" s="17"/>
      <c r="D749" s="6"/>
      <c r="E749" s="7" t="str">
        <f>IF($G749="","",INDEX('EDS Lookup'!$F$6:$F$2819,$G749))</f>
        <v/>
      </c>
      <c r="F749" s="8" t="str">
        <f>IF($G749="","",INDEX('EDS Lookup'!$G$6:$G$2819,$G749))</f>
        <v/>
      </c>
      <c r="G749" t="str">
        <f>IF(726&lt;=$B$4,IFERROR(MATCH(726,'EDS Lookup'!$H$6:$H$2819,0),""),"")</f>
        <v/>
      </c>
      <c r="H749" t="str">
        <f t="shared" si="11"/>
        <v/>
      </c>
    </row>
    <row r="750" spans="1:8" ht="19.95" customHeight="1">
      <c r="A750" s="5" t="str">
        <f>IF($G750="","",INDEX('EDS Lookup'!$D$6:$D$2819,$G750))</f>
        <v/>
      </c>
      <c r="B750" s="5" t="str">
        <f>IF($G750="","",INDEX('EDS Lookup'!$B$6:$B$2819,$G750))</f>
        <v/>
      </c>
      <c r="C750" s="17"/>
      <c r="D750" s="6"/>
      <c r="E750" s="7" t="str">
        <f>IF($G750="","",INDEX('EDS Lookup'!$F$6:$F$2819,$G750))</f>
        <v/>
      </c>
      <c r="F750" s="8" t="str">
        <f>IF($G750="","",INDEX('EDS Lookup'!$G$6:$G$2819,$G750))</f>
        <v/>
      </c>
      <c r="G750" t="str">
        <f>IF(727&lt;=$B$4,IFERROR(MATCH(727,'EDS Lookup'!$H$6:$H$2819,0),""),"")</f>
        <v/>
      </c>
      <c r="H750" t="str">
        <f t="shared" si="11"/>
        <v/>
      </c>
    </row>
    <row r="751" spans="1:8" ht="19.95" customHeight="1">
      <c r="A751" s="5" t="str">
        <f>IF($G751="","",INDEX('EDS Lookup'!$D$6:$D$2819,$G751))</f>
        <v/>
      </c>
      <c r="B751" s="5" t="str">
        <f>IF($G751="","",INDEX('EDS Lookup'!$B$6:$B$2819,$G751))</f>
        <v/>
      </c>
      <c r="C751" s="17"/>
      <c r="D751" s="6"/>
      <c r="E751" s="7" t="str">
        <f>IF($G751="","",INDEX('EDS Lookup'!$F$6:$F$2819,$G751))</f>
        <v/>
      </c>
      <c r="F751" s="8" t="str">
        <f>IF($G751="","",INDEX('EDS Lookup'!$G$6:$G$2819,$G751))</f>
        <v/>
      </c>
      <c r="G751" t="str">
        <f>IF(728&lt;=$B$4,IFERROR(MATCH(728,'EDS Lookup'!$H$6:$H$2819,0),""),"")</f>
        <v/>
      </c>
      <c r="H751" t="str">
        <f t="shared" si="11"/>
        <v/>
      </c>
    </row>
    <row r="752" spans="1:8" ht="19.95" customHeight="1">
      <c r="A752" s="5" t="str">
        <f>IF($G752="","",INDEX('EDS Lookup'!$D$6:$D$2819,$G752))</f>
        <v/>
      </c>
      <c r="B752" s="5" t="str">
        <f>IF($G752="","",INDEX('EDS Lookup'!$B$6:$B$2819,$G752))</f>
        <v/>
      </c>
      <c r="C752" s="17"/>
      <c r="D752" s="6"/>
      <c r="E752" s="7" t="str">
        <f>IF($G752="","",INDEX('EDS Lookup'!$F$6:$F$2819,$G752))</f>
        <v/>
      </c>
      <c r="F752" s="8" t="str">
        <f>IF($G752="","",INDEX('EDS Lookup'!$G$6:$G$2819,$G752))</f>
        <v/>
      </c>
      <c r="G752" t="str">
        <f>IF(729&lt;=$B$4,IFERROR(MATCH(729,'EDS Lookup'!$H$6:$H$2819,0),""),"")</f>
        <v/>
      </c>
      <c r="H752" t="str">
        <f t="shared" si="11"/>
        <v/>
      </c>
    </row>
    <row r="753" spans="1:8" ht="19.95" customHeight="1">
      <c r="A753" s="5" t="str">
        <f>IF($G753="","",INDEX('EDS Lookup'!$D$6:$D$2819,$G753))</f>
        <v/>
      </c>
      <c r="B753" s="5" t="str">
        <f>IF($G753="","",INDEX('EDS Lookup'!$B$6:$B$2819,$G753))</f>
        <v/>
      </c>
      <c r="C753" s="17"/>
      <c r="D753" s="6"/>
      <c r="E753" s="7" t="str">
        <f>IF($G753="","",INDEX('EDS Lookup'!$F$6:$F$2819,$G753))</f>
        <v/>
      </c>
      <c r="F753" s="8" t="str">
        <f>IF($G753="","",INDEX('EDS Lookup'!$G$6:$G$2819,$G753))</f>
        <v/>
      </c>
      <c r="G753" t="str">
        <f>IF(730&lt;=$B$4,IFERROR(MATCH(730,'EDS Lookup'!$H$6:$H$2819,0),""),"")</f>
        <v/>
      </c>
      <c r="H753" t="str">
        <f t="shared" si="11"/>
        <v/>
      </c>
    </row>
    <row r="754" spans="1:8" ht="19.95" customHeight="1">
      <c r="A754" s="5" t="str">
        <f>IF($G754="","",INDEX('EDS Lookup'!$D$6:$D$2819,$G754))</f>
        <v/>
      </c>
      <c r="B754" s="5" t="str">
        <f>IF($G754="","",INDEX('EDS Lookup'!$B$6:$B$2819,$G754))</f>
        <v/>
      </c>
      <c r="C754" s="17"/>
      <c r="D754" s="6"/>
      <c r="E754" s="7" t="str">
        <f>IF($G754="","",INDEX('EDS Lookup'!$F$6:$F$2819,$G754))</f>
        <v/>
      </c>
      <c r="F754" s="8" t="str">
        <f>IF($G754="","",INDEX('EDS Lookup'!$G$6:$G$2819,$G754))</f>
        <v/>
      </c>
      <c r="G754" t="str">
        <f>IF(731&lt;=$B$4,IFERROR(MATCH(731,'EDS Lookup'!$H$6:$H$2819,0),""),"")</f>
        <v/>
      </c>
      <c r="H754" t="str">
        <f t="shared" si="11"/>
        <v/>
      </c>
    </row>
    <row r="755" spans="1:8" ht="19.95" customHeight="1">
      <c r="A755" s="5" t="str">
        <f>IF($G755="","",INDEX('EDS Lookup'!$D$6:$D$2819,$G755))</f>
        <v/>
      </c>
      <c r="B755" s="5" t="str">
        <f>IF($G755="","",INDEX('EDS Lookup'!$B$6:$B$2819,$G755))</f>
        <v/>
      </c>
      <c r="C755" s="17"/>
      <c r="D755" s="6"/>
      <c r="E755" s="7" t="str">
        <f>IF($G755="","",INDEX('EDS Lookup'!$F$6:$F$2819,$G755))</f>
        <v/>
      </c>
      <c r="F755" s="8" t="str">
        <f>IF($G755="","",INDEX('EDS Lookup'!$G$6:$G$2819,$G755))</f>
        <v/>
      </c>
      <c r="G755" t="str">
        <f>IF(732&lt;=$B$4,IFERROR(MATCH(732,'EDS Lookup'!$H$6:$H$2819,0),""),"")</f>
        <v/>
      </c>
      <c r="H755" t="str">
        <f t="shared" si="11"/>
        <v/>
      </c>
    </row>
    <row r="756" spans="1:8" ht="19.95" customHeight="1">
      <c r="A756" s="5" t="str">
        <f>IF($G756="","",INDEX('EDS Lookup'!$D$6:$D$2819,$G756))</f>
        <v/>
      </c>
      <c r="B756" s="5" t="str">
        <f>IF($G756="","",INDEX('EDS Lookup'!$B$6:$B$2819,$G756))</f>
        <v/>
      </c>
      <c r="C756" s="17"/>
      <c r="D756" s="6"/>
      <c r="E756" s="7" t="str">
        <f>IF($G756="","",INDEX('EDS Lookup'!$F$6:$F$2819,$G756))</f>
        <v/>
      </c>
      <c r="F756" s="8" t="str">
        <f>IF($G756="","",INDEX('EDS Lookup'!$G$6:$G$2819,$G756))</f>
        <v/>
      </c>
      <c r="G756" t="str">
        <f>IF(733&lt;=$B$4,IFERROR(MATCH(733,'EDS Lookup'!$H$6:$H$2819,0),""),"")</f>
        <v/>
      </c>
      <c r="H756" t="str">
        <f t="shared" si="11"/>
        <v/>
      </c>
    </row>
    <row r="757" spans="1:8" ht="19.95" customHeight="1">
      <c r="A757" s="5" t="str">
        <f>IF($G757="","",INDEX('EDS Lookup'!$D$6:$D$2819,$G757))</f>
        <v/>
      </c>
      <c r="B757" s="5" t="str">
        <f>IF($G757="","",INDEX('EDS Lookup'!$B$6:$B$2819,$G757))</f>
        <v/>
      </c>
      <c r="C757" s="17"/>
      <c r="D757" s="6"/>
      <c r="E757" s="7" t="str">
        <f>IF($G757="","",INDEX('EDS Lookup'!$F$6:$F$2819,$G757))</f>
        <v/>
      </c>
      <c r="F757" s="8" t="str">
        <f>IF($G757="","",INDEX('EDS Lookup'!$G$6:$G$2819,$G757))</f>
        <v/>
      </c>
      <c r="G757" t="str">
        <f>IF(734&lt;=$B$4,IFERROR(MATCH(734,'EDS Lookup'!$H$6:$H$2819,0),""),"")</f>
        <v/>
      </c>
      <c r="H757" t="str">
        <f t="shared" si="11"/>
        <v/>
      </c>
    </row>
    <row r="758" spans="1:8" ht="19.95" customHeight="1">
      <c r="A758" s="5" t="str">
        <f>IF($G758="","",INDEX('EDS Lookup'!$D$6:$D$2819,$G758))</f>
        <v/>
      </c>
      <c r="B758" s="5" t="str">
        <f>IF($G758="","",INDEX('EDS Lookup'!$B$6:$B$2819,$G758))</f>
        <v/>
      </c>
      <c r="C758" s="17"/>
      <c r="D758" s="6"/>
      <c r="E758" s="7" t="str">
        <f>IF($G758="","",INDEX('EDS Lookup'!$F$6:$F$2819,$G758))</f>
        <v/>
      </c>
      <c r="F758" s="8" t="str">
        <f>IF($G758="","",INDEX('EDS Lookup'!$G$6:$G$2819,$G758))</f>
        <v/>
      </c>
      <c r="G758" t="str">
        <f>IF(735&lt;=$B$4,IFERROR(MATCH(735,'EDS Lookup'!$H$6:$H$2819,0),""),"")</f>
        <v/>
      </c>
      <c r="H758" t="str">
        <f t="shared" si="11"/>
        <v/>
      </c>
    </row>
    <row r="759" spans="1:8" ht="19.95" customHeight="1">
      <c r="A759" s="5" t="str">
        <f>IF($G759="","",INDEX('EDS Lookup'!$D$6:$D$2819,$G759))</f>
        <v/>
      </c>
      <c r="B759" s="5" t="str">
        <f>IF($G759="","",INDEX('EDS Lookup'!$B$6:$B$2819,$G759))</f>
        <v/>
      </c>
      <c r="C759" s="17"/>
      <c r="D759" s="6"/>
      <c r="E759" s="7" t="str">
        <f>IF($G759="","",INDEX('EDS Lookup'!$F$6:$F$2819,$G759))</f>
        <v/>
      </c>
      <c r="F759" s="8" t="str">
        <f>IF($G759="","",INDEX('EDS Lookup'!$G$6:$G$2819,$G759))</f>
        <v/>
      </c>
      <c r="G759" t="str">
        <f>IF(736&lt;=$B$4,IFERROR(MATCH(736,'EDS Lookup'!$H$6:$H$2819,0),""),"")</f>
        <v/>
      </c>
      <c r="H759" t="str">
        <f t="shared" si="11"/>
        <v/>
      </c>
    </row>
    <row r="760" spans="1:8" ht="19.95" customHeight="1">
      <c r="A760" s="5" t="str">
        <f>IF($G760="","",INDEX('EDS Lookup'!$D$6:$D$2819,$G760))</f>
        <v/>
      </c>
      <c r="B760" s="5" t="str">
        <f>IF($G760="","",INDEX('EDS Lookup'!$B$6:$B$2819,$G760))</f>
        <v/>
      </c>
      <c r="C760" s="17"/>
      <c r="D760" s="6"/>
      <c r="E760" s="7" t="str">
        <f>IF($G760="","",INDEX('EDS Lookup'!$F$6:$F$2819,$G760))</f>
        <v/>
      </c>
      <c r="F760" s="8" t="str">
        <f>IF($G760="","",INDEX('EDS Lookup'!$G$6:$G$2819,$G760))</f>
        <v/>
      </c>
      <c r="G760" t="str">
        <f>IF(737&lt;=$B$4,IFERROR(MATCH(737,'EDS Lookup'!$H$6:$H$2819,0),""),"")</f>
        <v/>
      </c>
      <c r="H760" t="str">
        <f t="shared" si="11"/>
        <v/>
      </c>
    </row>
    <row r="761" spans="1:8" ht="19.95" customHeight="1">
      <c r="A761" s="5" t="str">
        <f>IF($G761="","",INDEX('EDS Lookup'!$D$6:$D$2819,$G761))</f>
        <v/>
      </c>
      <c r="B761" s="5" t="str">
        <f>IF($G761="","",INDEX('EDS Lookup'!$B$6:$B$2819,$G761))</f>
        <v/>
      </c>
      <c r="C761" s="17"/>
      <c r="D761" s="6"/>
      <c r="E761" s="7" t="str">
        <f>IF($G761="","",INDEX('EDS Lookup'!$F$6:$F$2819,$G761))</f>
        <v/>
      </c>
      <c r="F761" s="8" t="str">
        <f>IF($G761="","",INDEX('EDS Lookup'!$G$6:$G$2819,$G761))</f>
        <v/>
      </c>
      <c r="G761" t="str">
        <f>IF(738&lt;=$B$4,IFERROR(MATCH(738,'EDS Lookup'!$H$6:$H$2819,0),""),"")</f>
        <v/>
      </c>
      <c r="H761" t="str">
        <f t="shared" si="11"/>
        <v/>
      </c>
    </row>
    <row r="762" spans="1:8" ht="19.95" customHeight="1">
      <c r="A762" s="5" t="str">
        <f>IF($G762="","",INDEX('EDS Lookup'!$D$6:$D$2819,$G762))</f>
        <v/>
      </c>
      <c r="B762" s="5" t="str">
        <f>IF($G762="","",INDEX('EDS Lookup'!$B$6:$B$2819,$G762))</f>
        <v/>
      </c>
      <c r="C762" s="17"/>
      <c r="D762" s="6"/>
      <c r="E762" s="7" t="str">
        <f>IF($G762="","",INDEX('EDS Lookup'!$F$6:$F$2819,$G762))</f>
        <v/>
      </c>
      <c r="F762" s="8" t="str">
        <f>IF($G762="","",INDEX('EDS Lookup'!$G$6:$G$2819,$G762))</f>
        <v/>
      </c>
      <c r="G762" t="str">
        <f>IF(739&lt;=$B$4,IFERROR(MATCH(739,'EDS Lookup'!$H$6:$H$2819,0),""),"")</f>
        <v/>
      </c>
      <c r="H762" t="str">
        <f t="shared" si="11"/>
        <v/>
      </c>
    </row>
    <row r="763" spans="1:8" ht="19.95" customHeight="1">
      <c r="A763" s="5" t="str">
        <f>IF($G763="","",INDEX('EDS Lookup'!$D$6:$D$2819,$G763))</f>
        <v/>
      </c>
      <c r="B763" s="5" t="str">
        <f>IF($G763="","",INDEX('EDS Lookup'!$B$6:$B$2819,$G763))</f>
        <v/>
      </c>
      <c r="C763" s="17"/>
      <c r="D763" s="6"/>
      <c r="E763" s="7" t="str">
        <f>IF($G763="","",INDEX('EDS Lookup'!$F$6:$F$2819,$G763))</f>
        <v/>
      </c>
      <c r="F763" s="8" t="str">
        <f>IF($G763="","",INDEX('EDS Lookup'!$G$6:$G$2819,$G763))</f>
        <v/>
      </c>
      <c r="G763" t="str">
        <f>IF(740&lt;=$B$4,IFERROR(MATCH(740,'EDS Lookup'!$H$6:$H$2819,0),""),"")</f>
        <v/>
      </c>
      <c r="H763" t="str">
        <f t="shared" si="11"/>
        <v/>
      </c>
    </row>
    <row r="764" spans="1:8" ht="19.95" customHeight="1">
      <c r="A764" s="5" t="str">
        <f>IF($G764="","",INDEX('EDS Lookup'!$D$6:$D$2819,$G764))</f>
        <v/>
      </c>
      <c r="B764" s="5" t="str">
        <f>IF($G764="","",INDEX('EDS Lookup'!$B$6:$B$2819,$G764))</f>
        <v/>
      </c>
      <c r="C764" s="17"/>
      <c r="D764" s="6"/>
      <c r="E764" s="7" t="str">
        <f>IF($G764="","",INDEX('EDS Lookup'!$F$6:$F$2819,$G764))</f>
        <v/>
      </c>
      <c r="F764" s="8" t="str">
        <f>IF($G764="","",INDEX('EDS Lookup'!$G$6:$G$2819,$G764))</f>
        <v/>
      </c>
      <c r="G764" t="str">
        <f>IF(741&lt;=$B$4,IFERROR(MATCH(741,'EDS Lookup'!$H$6:$H$2819,0),""),"")</f>
        <v/>
      </c>
      <c r="H764" t="str">
        <f t="shared" si="11"/>
        <v/>
      </c>
    </row>
    <row r="765" spans="1:8" ht="19.95" customHeight="1">
      <c r="A765" s="5" t="str">
        <f>IF($G765="","",INDEX('EDS Lookup'!$D$6:$D$2819,$G765))</f>
        <v/>
      </c>
      <c r="B765" s="5" t="str">
        <f>IF($G765="","",INDEX('EDS Lookup'!$B$6:$B$2819,$G765))</f>
        <v/>
      </c>
      <c r="C765" s="17"/>
      <c r="D765" s="6"/>
      <c r="E765" s="7" t="str">
        <f>IF($G765="","",INDEX('EDS Lookup'!$F$6:$F$2819,$G765))</f>
        <v/>
      </c>
      <c r="F765" s="8" t="str">
        <f>IF($G765="","",INDEX('EDS Lookup'!$G$6:$G$2819,$G765))</f>
        <v/>
      </c>
      <c r="G765" t="str">
        <f>IF(742&lt;=$B$4,IFERROR(MATCH(742,'EDS Lookup'!$H$6:$H$2819,0),""),"")</f>
        <v/>
      </c>
      <c r="H765" t="str">
        <f t="shared" si="11"/>
        <v/>
      </c>
    </row>
    <row r="766" spans="1:8" ht="19.95" customHeight="1">
      <c r="A766" s="5" t="str">
        <f>IF($G766="","",INDEX('EDS Lookup'!$D$6:$D$2819,$G766))</f>
        <v/>
      </c>
      <c r="B766" s="5" t="str">
        <f>IF($G766="","",INDEX('EDS Lookup'!$B$6:$B$2819,$G766))</f>
        <v/>
      </c>
      <c r="C766" s="17"/>
      <c r="D766" s="6"/>
      <c r="E766" s="7" t="str">
        <f>IF($G766="","",INDEX('EDS Lookup'!$F$6:$F$2819,$G766))</f>
        <v/>
      </c>
      <c r="F766" s="8" t="str">
        <f>IF($G766="","",INDEX('EDS Lookup'!$G$6:$G$2819,$G766))</f>
        <v/>
      </c>
      <c r="G766" t="str">
        <f>IF(743&lt;=$B$4,IFERROR(MATCH(743,'EDS Lookup'!$H$6:$H$2819,0),""),"")</f>
        <v/>
      </c>
      <c r="H766" t="str">
        <f t="shared" si="11"/>
        <v/>
      </c>
    </row>
    <row r="767" spans="1:8" ht="19.95" customHeight="1">
      <c r="A767" s="5" t="str">
        <f>IF($G767="","",INDEX('EDS Lookup'!$D$6:$D$2819,$G767))</f>
        <v/>
      </c>
      <c r="B767" s="5" t="str">
        <f>IF($G767="","",INDEX('EDS Lookup'!$B$6:$B$2819,$G767))</f>
        <v/>
      </c>
      <c r="C767" s="17"/>
      <c r="D767" s="6"/>
      <c r="E767" s="7" t="str">
        <f>IF($G767="","",INDEX('EDS Lookup'!$F$6:$F$2819,$G767))</f>
        <v/>
      </c>
      <c r="F767" s="8" t="str">
        <f>IF($G767="","",INDEX('EDS Lookup'!$G$6:$G$2819,$G767))</f>
        <v/>
      </c>
      <c r="G767" t="str">
        <f>IF(744&lt;=$B$4,IFERROR(MATCH(744,'EDS Lookup'!$H$6:$H$2819,0),""),"")</f>
        <v/>
      </c>
      <c r="H767" t="str">
        <f t="shared" si="11"/>
        <v/>
      </c>
    </row>
    <row r="768" spans="1:8" ht="19.95" customHeight="1">
      <c r="A768" s="5" t="str">
        <f>IF($G768="","",INDEX('EDS Lookup'!$D$6:$D$2819,$G768))</f>
        <v/>
      </c>
      <c r="B768" s="5" t="str">
        <f>IF($G768="","",INDEX('EDS Lookup'!$B$6:$B$2819,$G768))</f>
        <v/>
      </c>
      <c r="C768" s="17"/>
      <c r="D768" s="6"/>
      <c r="E768" s="7" t="str">
        <f>IF($G768="","",INDEX('EDS Lookup'!$F$6:$F$2819,$G768))</f>
        <v/>
      </c>
      <c r="F768" s="8" t="str">
        <f>IF($G768="","",INDEX('EDS Lookup'!$G$6:$G$2819,$G768))</f>
        <v/>
      </c>
      <c r="G768" t="str">
        <f>IF(745&lt;=$B$4,IFERROR(MATCH(745,'EDS Lookup'!$H$6:$H$2819,0),""),"")</f>
        <v/>
      </c>
      <c r="H768" t="str">
        <f t="shared" si="11"/>
        <v/>
      </c>
    </row>
    <row r="769" spans="1:8" ht="19.95" customHeight="1">
      <c r="A769" s="5" t="str">
        <f>IF($G769="","",INDEX('EDS Lookup'!$D$6:$D$2819,$G769))</f>
        <v/>
      </c>
      <c r="B769" s="5" t="str">
        <f>IF($G769="","",INDEX('EDS Lookup'!$B$6:$B$2819,$G769))</f>
        <v/>
      </c>
      <c r="C769" s="17"/>
      <c r="D769" s="6"/>
      <c r="E769" s="7" t="str">
        <f>IF($G769="","",INDEX('EDS Lookup'!$F$6:$F$2819,$G769))</f>
        <v/>
      </c>
      <c r="F769" s="8" t="str">
        <f>IF($G769="","",INDEX('EDS Lookup'!$G$6:$G$2819,$G769))</f>
        <v/>
      </c>
      <c r="G769" t="str">
        <f>IF(746&lt;=$B$4,IFERROR(MATCH(746,'EDS Lookup'!$H$6:$H$2819,0),""),"")</f>
        <v/>
      </c>
      <c r="H769" t="str">
        <f t="shared" si="11"/>
        <v/>
      </c>
    </row>
    <row r="770" spans="1:8" ht="19.95" customHeight="1">
      <c r="A770" s="5" t="str">
        <f>IF($G770="","",INDEX('EDS Lookup'!$D$6:$D$2819,$G770))</f>
        <v/>
      </c>
      <c r="B770" s="5" t="str">
        <f>IF($G770="","",INDEX('EDS Lookup'!$B$6:$B$2819,$G770))</f>
        <v/>
      </c>
      <c r="C770" s="17"/>
      <c r="D770" s="6"/>
      <c r="E770" s="7" t="str">
        <f>IF($G770="","",INDEX('EDS Lookup'!$F$6:$F$2819,$G770))</f>
        <v/>
      </c>
      <c r="F770" s="8" t="str">
        <f>IF($G770="","",INDEX('EDS Lookup'!$G$6:$G$2819,$G770))</f>
        <v/>
      </c>
      <c r="G770" t="str">
        <f>IF(747&lt;=$B$4,IFERROR(MATCH(747,'EDS Lookup'!$H$6:$H$2819,0),""),"")</f>
        <v/>
      </c>
      <c r="H770" t="str">
        <f t="shared" si="11"/>
        <v/>
      </c>
    </row>
    <row r="771" spans="1:8" ht="19.95" customHeight="1">
      <c r="A771" s="5" t="str">
        <f>IF($G771="","",INDEX('EDS Lookup'!$D$6:$D$2819,$G771))</f>
        <v/>
      </c>
      <c r="B771" s="5" t="str">
        <f>IF($G771="","",INDEX('EDS Lookup'!$B$6:$B$2819,$G771))</f>
        <v/>
      </c>
      <c r="C771" s="17"/>
      <c r="D771" s="6"/>
      <c r="E771" s="7" t="str">
        <f>IF($G771="","",INDEX('EDS Lookup'!$F$6:$F$2819,$G771))</f>
        <v/>
      </c>
      <c r="F771" s="8" t="str">
        <f>IF($G771="","",INDEX('EDS Lookup'!$G$6:$G$2819,$G771))</f>
        <v/>
      </c>
      <c r="G771" t="str">
        <f>IF(748&lt;=$B$4,IFERROR(MATCH(748,'EDS Lookup'!$H$6:$H$2819,0),""),"")</f>
        <v/>
      </c>
      <c r="H771" t="str">
        <f t="shared" si="11"/>
        <v/>
      </c>
    </row>
    <row r="772" spans="1:8" ht="19.95" customHeight="1">
      <c r="A772" s="5" t="str">
        <f>IF($G772="","",INDEX('EDS Lookup'!$D$6:$D$2819,$G772))</f>
        <v/>
      </c>
      <c r="B772" s="5" t="str">
        <f>IF($G772="","",INDEX('EDS Lookup'!$B$6:$B$2819,$G772))</f>
        <v/>
      </c>
      <c r="C772" s="17"/>
      <c r="D772" s="6"/>
      <c r="E772" s="7" t="str">
        <f>IF($G772="","",INDEX('EDS Lookup'!$F$6:$F$2819,$G772))</f>
        <v/>
      </c>
      <c r="F772" s="8" t="str">
        <f>IF($G772="","",INDEX('EDS Lookup'!$G$6:$G$2819,$G772))</f>
        <v/>
      </c>
      <c r="G772" t="str">
        <f>IF(749&lt;=$B$4,IFERROR(MATCH(749,'EDS Lookup'!$H$6:$H$2819,0),""),"")</f>
        <v/>
      </c>
      <c r="H772" t="str">
        <f t="shared" si="11"/>
        <v/>
      </c>
    </row>
    <row r="773" spans="1:8" ht="19.95" customHeight="1">
      <c r="A773" s="5" t="str">
        <f>IF($G773="","",INDEX('EDS Lookup'!$D$6:$D$2819,$G773))</f>
        <v/>
      </c>
      <c r="B773" s="5" t="str">
        <f>IF($G773="","",INDEX('EDS Lookup'!$B$6:$B$2819,$G773))</f>
        <v/>
      </c>
      <c r="C773" s="17"/>
      <c r="D773" s="6"/>
      <c r="E773" s="7" t="str">
        <f>IF($G773="","",INDEX('EDS Lookup'!$F$6:$F$2819,$G773))</f>
        <v/>
      </c>
      <c r="F773" s="8" t="str">
        <f>IF($G773="","",INDEX('EDS Lookup'!$G$6:$G$2819,$G773))</f>
        <v/>
      </c>
      <c r="G773" t="str">
        <f>IF(750&lt;=$B$4,IFERROR(MATCH(750,'EDS Lookup'!$H$6:$H$2819,0),""),"")</f>
        <v/>
      </c>
      <c r="H773" t="str">
        <f t="shared" si="11"/>
        <v/>
      </c>
    </row>
    <row r="774" spans="1:8" ht="19.95" customHeight="1">
      <c r="A774" s="5" t="str">
        <f>IF($G774="","",INDEX('EDS Lookup'!$D$6:$D$2819,$G774))</f>
        <v/>
      </c>
      <c r="B774" s="5" t="str">
        <f>IF($G774="","",INDEX('EDS Lookup'!$B$6:$B$2819,$G774))</f>
        <v/>
      </c>
      <c r="C774" s="17"/>
      <c r="D774" s="6"/>
      <c r="E774" s="7" t="str">
        <f>IF($G774="","",INDEX('EDS Lookup'!$F$6:$F$2819,$G774))</f>
        <v/>
      </c>
      <c r="F774" s="8" t="str">
        <f>IF($G774="","",INDEX('EDS Lookup'!$G$6:$G$2819,$G774))</f>
        <v/>
      </c>
      <c r="G774" t="str">
        <f>IF(751&lt;=$B$4,IFERROR(MATCH(751,'EDS Lookup'!$H$6:$H$2819,0),""),"")</f>
        <v/>
      </c>
      <c r="H774" t="str">
        <f t="shared" si="11"/>
        <v/>
      </c>
    </row>
    <row r="775" spans="1:8" ht="19.95" customHeight="1">
      <c r="A775" s="5" t="str">
        <f>IF($G775="","",INDEX('EDS Lookup'!$D$6:$D$2819,$G775))</f>
        <v/>
      </c>
      <c r="B775" s="5" t="str">
        <f>IF($G775="","",INDEX('EDS Lookup'!$B$6:$B$2819,$G775))</f>
        <v/>
      </c>
      <c r="C775" s="17"/>
      <c r="D775" s="6"/>
      <c r="E775" s="7" t="str">
        <f>IF($G775="","",INDEX('EDS Lookup'!$F$6:$F$2819,$G775))</f>
        <v/>
      </c>
      <c r="F775" s="8" t="str">
        <f>IF($G775="","",INDEX('EDS Lookup'!$G$6:$G$2819,$G775))</f>
        <v/>
      </c>
      <c r="G775" t="str">
        <f>IF(752&lt;=$B$4,IFERROR(MATCH(752,'EDS Lookup'!$H$6:$H$2819,0),""),"")</f>
        <v/>
      </c>
      <c r="H775" t="str">
        <f t="shared" si="11"/>
        <v/>
      </c>
    </row>
    <row r="776" spans="1:8" ht="19.95" customHeight="1">
      <c r="A776" s="5" t="str">
        <f>IF($G776="","",INDEX('EDS Lookup'!$D$6:$D$2819,$G776))</f>
        <v/>
      </c>
      <c r="B776" s="5" t="str">
        <f>IF($G776="","",INDEX('EDS Lookup'!$B$6:$B$2819,$G776))</f>
        <v/>
      </c>
      <c r="C776" s="17"/>
      <c r="D776" s="6"/>
      <c r="E776" s="7" t="str">
        <f>IF($G776="","",INDEX('EDS Lookup'!$F$6:$F$2819,$G776))</f>
        <v/>
      </c>
      <c r="F776" s="8" t="str">
        <f>IF($G776="","",INDEX('EDS Lookup'!$G$6:$G$2819,$G776))</f>
        <v/>
      </c>
      <c r="G776" t="str">
        <f>IF(753&lt;=$B$4,IFERROR(MATCH(753,'EDS Lookup'!$H$6:$H$2819,0),""),"")</f>
        <v/>
      </c>
      <c r="H776" t="str">
        <f t="shared" si="11"/>
        <v/>
      </c>
    </row>
    <row r="777" spans="1:8" ht="19.95" customHeight="1">
      <c r="A777" s="5" t="str">
        <f>IF($G777="","",INDEX('EDS Lookup'!$D$6:$D$2819,$G777))</f>
        <v/>
      </c>
      <c r="B777" s="5" t="str">
        <f>IF($G777="","",INDEX('EDS Lookup'!$B$6:$B$2819,$G777))</f>
        <v/>
      </c>
      <c r="C777" s="17"/>
      <c r="D777" s="6"/>
      <c r="E777" s="7" t="str">
        <f>IF($G777="","",INDEX('EDS Lookup'!$F$6:$F$2819,$G777))</f>
        <v/>
      </c>
      <c r="F777" s="8" t="str">
        <f>IF($G777="","",INDEX('EDS Lookup'!$G$6:$G$2819,$G777))</f>
        <v/>
      </c>
      <c r="G777" t="str">
        <f>IF(754&lt;=$B$4,IFERROR(MATCH(754,'EDS Lookup'!$H$6:$H$2819,0),""),"")</f>
        <v/>
      </c>
      <c r="H777" t="str">
        <f t="shared" si="11"/>
        <v/>
      </c>
    </row>
    <row r="778" spans="1:8" ht="19.95" customHeight="1">
      <c r="A778" s="5" t="str">
        <f>IF($G778="","",INDEX('EDS Lookup'!$D$6:$D$2819,$G778))</f>
        <v/>
      </c>
      <c r="B778" s="5" t="str">
        <f>IF($G778="","",INDEX('EDS Lookup'!$B$6:$B$2819,$G778))</f>
        <v/>
      </c>
      <c r="C778" s="17"/>
      <c r="D778" s="6"/>
      <c r="E778" s="7" t="str">
        <f>IF($G778="","",INDEX('EDS Lookup'!$F$6:$F$2819,$G778))</f>
        <v/>
      </c>
      <c r="F778" s="8" t="str">
        <f>IF($G778="","",INDEX('EDS Lookup'!$G$6:$G$2819,$G778))</f>
        <v/>
      </c>
      <c r="G778" t="str">
        <f>IF(755&lt;=$B$4,IFERROR(MATCH(755,'EDS Lookup'!$H$6:$H$2819,0),""),"")</f>
        <v/>
      </c>
      <c r="H778" t="str">
        <f t="shared" si="11"/>
        <v/>
      </c>
    </row>
    <row r="779" spans="1:8" ht="19.95" customHeight="1">
      <c r="A779" s="5" t="str">
        <f>IF($G779="","",INDEX('EDS Lookup'!$D$6:$D$2819,$G779))</f>
        <v/>
      </c>
      <c r="B779" s="5" t="str">
        <f>IF($G779="","",INDEX('EDS Lookup'!$B$6:$B$2819,$G779))</f>
        <v/>
      </c>
      <c r="C779" s="17"/>
      <c r="D779" s="6"/>
      <c r="E779" s="7" t="str">
        <f>IF($G779="","",INDEX('EDS Lookup'!$F$6:$F$2819,$G779))</f>
        <v/>
      </c>
      <c r="F779" s="8" t="str">
        <f>IF($G779="","",INDEX('EDS Lookup'!$G$6:$G$2819,$G779))</f>
        <v/>
      </c>
      <c r="G779" t="str">
        <f>IF(756&lt;=$B$4,IFERROR(MATCH(756,'EDS Lookup'!$H$6:$H$2819,0),""),"")</f>
        <v/>
      </c>
      <c r="H779" t="str">
        <f t="shared" si="11"/>
        <v/>
      </c>
    </row>
    <row r="780" spans="1:8" ht="19.95" customHeight="1">
      <c r="A780" s="5" t="str">
        <f>IF($G780="","",INDEX('EDS Lookup'!$D$6:$D$2819,$G780))</f>
        <v/>
      </c>
      <c r="B780" s="5" t="str">
        <f>IF($G780="","",INDEX('EDS Lookup'!$B$6:$B$2819,$G780))</f>
        <v/>
      </c>
      <c r="C780" s="17"/>
      <c r="D780" s="6"/>
      <c r="E780" s="7" t="str">
        <f>IF($G780="","",INDEX('EDS Lookup'!$F$6:$F$2819,$G780))</f>
        <v/>
      </c>
      <c r="F780" s="8" t="str">
        <f>IF($G780="","",INDEX('EDS Lookup'!$G$6:$G$2819,$G780))</f>
        <v/>
      </c>
      <c r="G780" t="str">
        <f>IF(757&lt;=$B$4,IFERROR(MATCH(757,'EDS Lookup'!$H$6:$H$2819,0),""),"")</f>
        <v/>
      </c>
      <c r="H780" t="str">
        <f t="shared" si="11"/>
        <v/>
      </c>
    </row>
    <row r="781" spans="1:8" ht="19.95" customHeight="1">
      <c r="A781" s="5" t="str">
        <f>IF($G781="","",INDEX('EDS Lookup'!$D$6:$D$2819,$G781))</f>
        <v/>
      </c>
      <c r="B781" s="5" t="str">
        <f>IF($G781="","",INDEX('EDS Lookup'!$B$6:$B$2819,$G781))</f>
        <v/>
      </c>
      <c r="C781" s="17"/>
      <c r="D781" s="6"/>
      <c r="E781" s="7" t="str">
        <f>IF($G781="","",INDEX('EDS Lookup'!$F$6:$F$2819,$G781))</f>
        <v/>
      </c>
      <c r="F781" s="8" t="str">
        <f>IF($G781="","",INDEX('EDS Lookup'!$G$6:$G$2819,$G781))</f>
        <v/>
      </c>
      <c r="G781" t="str">
        <f>IF(758&lt;=$B$4,IFERROR(MATCH(758,'EDS Lookup'!$H$6:$H$2819,0),""),"")</f>
        <v/>
      </c>
      <c r="H781" t="str">
        <f t="shared" si="11"/>
        <v/>
      </c>
    </row>
    <row r="782" spans="1:8" ht="19.95" customHeight="1">
      <c r="A782" s="5" t="str">
        <f>IF($G782="","",INDEX('EDS Lookup'!$D$6:$D$2819,$G782))</f>
        <v/>
      </c>
      <c r="B782" s="5" t="str">
        <f>IF($G782="","",INDEX('EDS Lookup'!$B$6:$B$2819,$G782))</f>
        <v/>
      </c>
      <c r="C782" s="17"/>
      <c r="D782" s="6"/>
      <c r="E782" s="7" t="str">
        <f>IF($G782="","",INDEX('EDS Lookup'!$F$6:$F$2819,$G782))</f>
        <v/>
      </c>
      <c r="F782" s="8" t="str">
        <f>IF($G782="","",INDEX('EDS Lookup'!$G$6:$G$2819,$G782))</f>
        <v/>
      </c>
      <c r="G782" t="str">
        <f>IF(759&lt;=$B$4,IFERROR(MATCH(759,'EDS Lookup'!$H$6:$H$2819,0),""),"")</f>
        <v/>
      </c>
      <c r="H782" t="str">
        <f t="shared" si="11"/>
        <v/>
      </c>
    </row>
    <row r="783" spans="1:8" ht="19.95" customHeight="1">
      <c r="A783" s="5" t="str">
        <f>IF($G783="","",INDEX('EDS Lookup'!$D$6:$D$2819,$G783))</f>
        <v/>
      </c>
      <c r="B783" s="5" t="str">
        <f>IF($G783="","",INDEX('EDS Lookup'!$B$6:$B$2819,$G783))</f>
        <v/>
      </c>
      <c r="C783" s="17"/>
      <c r="D783" s="6"/>
      <c r="E783" s="7" t="str">
        <f>IF($G783="","",INDEX('EDS Lookup'!$F$6:$F$2819,$G783))</f>
        <v/>
      </c>
      <c r="F783" s="8" t="str">
        <f>IF($G783="","",INDEX('EDS Lookup'!$G$6:$G$2819,$G783))</f>
        <v/>
      </c>
      <c r="G783" t="str">
        <f>IF(760&lt;=$B$4,IFERROR(MATCH(760,'EDS Lookup'!$H$6:$H$2819,0),""),"")</f>
        <v/>
      </c>
      <c r="H783" t="str">
        <f t="shared" si="11"/>
        <v/>
      </c>
    </row>
    <row r="784" spans="1:8" ht="19.95" customHeight="1">
      <c r="A784" s="5" t="str">
        <f>IF($G784="","",INDEX('EDS Lookup'!$D$6:$D$2819,$G784))</f>
        <v/>
      </c>
      <c r="B784" s="5" t="str">
        <f>IF($G784="","",INDEX('EDS Lookup'!$B$6:$B$2819,$G784))</f>
        <v/>
      </c>
      <c r="C784" s="17"/>
      <c r="D784" s="6"/>
      <c r="E784" s="7" t="str">
        <f>IF($G784="","",INDEX('EDS Lookup'!$F$6:$F$2819,$G784))</f>
        <v/>
      </c>
      <c r="F784" s="8" t="str">
        <f>IF($G784="","",INDEX('EDS Lookup'!$G$6:$G$2819,$G784))</f>
        <v/>
      </c>
      <c r="G784" t="str">
        <f>IF(761&lt;=$B$4,IFERROR(MATCH(761,'EDS Lookup'!$H$6:$H$2819,0),""),"")</f>
        <v/>
      </c>
      <c r="H784" t="str">
        <f t="shared" si="11"/>
        <v/>
      </c>
    </row>
    <row r="785" spans="1:8" ht="19.95" customHeight="1">
      <c r="A785" s="5" t="str">
        <f>IF($G785="","",INDEX('EDS Lookup'!$D$6:$D$2819,$G785))</f>
        <v/>
      </c>
      <c r="B785" s="5" t="str">
        <f>IF($G785="","",INDEX('EDS Lookup'!$B$6:$B$2819,$G785))</f>
        <v/>
      </c>
      <c r="C785" s="17"/>
      <c r="D785" s="6"/>
      <c r="E785" s="7" t="str">
        <f>IF($G785="","",INDEX('EDS Lookup'!$F$6:$F$2819,$G785))</f>
        <v/>
      </c>
      <c r="F785" s="8" t="str">
        <f>IF($G785="","",INDEX('EDS Lookup'!$G$6:$G$2819,$G785))</f>
        <v/>
      </c>
      <c r="G785" t="str">
        <f>IF(762&lt;=$B$4,IFERROR(MATCH(762,'EDS Lookup'!$H$6:$H$2819,0),""),"")</f>
        <v/>
      </c>
      <c r="H785" t="str">
        <f t="shared" si="11"/>
        <v/>
      </c>
    </row>
    <row r="786" spans="1:8" ht="19.95" customHeight="1">
      <c r="A786" s="5" t="str">
        <f>IF($G786="","",INDEX('EDS Lookup'!$D$6:$D$2819,$G786))</f>
        <v/>
      </c>
      <c r="B786" s="5" t="str">
        <f>IF($G786="","",INDEX('EDS Lookup'!$B$6:$B$2819,$G786))</f>
        <v/>
      </c>
      <c r="C786" s="17"/>
      <c r="D786" s="6"/>
      <c r="E786" s="7" t="str">
        <f>IF($G786="","",INDEX('EDS Lookup'!$F$6:$F$2819,$G786))</f>
        <v/>
      </c>
      <c r="F786" s="8" t="str">
        <f>IF($G786="","",INDEX('EDS Lookup'!$G$6:$G$2819,$G786))</f>
        <v/>
      </c>
      <c r="G786" t="str">
        <f>IF(763&lt;=$B$4,IFERROR(MATCH(763,'EDS Lookup'!$H$6:$H$2819,0),""),"")</f>
        <v/>
      </c>
      <c r="H786" t="str">
        <f t="shared" si="11"/>
        <v/>
      </c>
    </row>
    <row r="787" spans="1:8" ht="19.95" customHeight="1">
      <c r="A787" s="5" t="str">
        <f>IF($G787="","",INDEX('EDS Lookup'!$D$6:$D$2819,$G787))</f>
        <v/>
      </c>
      <c r="B787" s="5" t="str">
        <f>IF($G787="","",INDEX('EDS Lookup'!$B$6:$B$2819,$G787))</f>
        <v/>
      </c>
      <c r="C787" s="17"/>
      <c r="D787" s="6"/>
      <c r="E787" s="7" t="str">
        <f>IF($G787="","",INDEX('EDS Lookup'!$F$6:$F$2819,$G787))</f>
        <v/>
      </c>
      <c r="F787" s="8" t="str">
        <f>IF($G787="","",INDEX('EDS Lookup'!$G$6:$G$2819,$G787))</f>
        <v/>
      </c>
      <c r="G787" t="str">
        <f>IF(764&lt;=$B$4,IFERROR(MATCH(764,'EDS Lookup'!$H$6:$H$2819,0),""),"")</f>
        <v/>
      </c>
      <c r="H787" t="str">
        <f t="shared" si="11"/>
        <v/>
      </c>
    </row>
    <row r="788" spans="1:8" ht="19.95" customHeight="1">
      <c r="A788" s="5" t="str">
        <f>IF($G788="","",INDEX('EDS Lookup'!$D$6:$D$2819,$G788))</f>
        <v/>
      </c>
      <c r="B788" s="5" t="str">
        <f>IF($G788="","",INDEX('EDS Lookup'!$B$6:$B$2819,$G788))</f>
        <v/>
      </c>
      <c r="C788" s="17"/>
      <c r="D788" s="6"/>
      <c r="E788" s="7" t="str">
        <f>IF($G788="","",INDEX('EDS Lookup'!$F$6:$F$2819,$G788))</f>
        <v/>
      </c>
      <c r="F788" s="8" t="str">
        <f>IF($G788="","",INDEX('EDS Lookup'!$G$6:$G$2819,$G788))</f>
        <v/>
      </c>
      <c r="G788" t="str">
        <f>IF(765&lt;=$B$4,IFERROR(MATCH(765,'EDS Lookup'!$H$6:$H$2819,0),""),"")</f>
        <v/>
      </c>
      <c r="H788" t="str">
        <f t="shared" si="11"/>
        <v/>
      </c>
    </row>
    <row r="789" spans="1:8" ht="19.95" customHeight="1">
      <c r="A789" s="5" t="str">
        <f>IF($G789="","",INDEX('EDS Lookup'!$D$6:$D$2819,$G789))</f>
        <v/>
      </c>
      <c r="B789" s="5" t="str">
        <f>IF($G789="","",INDEX('EDS Lookup'!$B$6:$B$2819,$G789))</f>
        <v/>
      </c>
      <c r="C789" s="17"/>
      <c r="D789" s="6"/>
      <c r="E789" s="7" t="str">
        <f>IF($G789="","",INDEX('EDS Lookup'!$F$6:$F$2819,$G789))</f>
        <v/>
      </c>
      <c r="F789" s="8" t="str">
        <f>IF($G789="","",INDEX('EDS Lookup'!$G$6:$G$2819,$G789))</f>
        <v/>
      </c>
      <c r="G789" t="str">
        <f>IF(766&lt;=$B$4,IFERROR(MATCH(766,'EDS Lookup'!$H$6:$H$2819,0),""),"")</f>
        <v/>
      </c>
      <c r="H789" t="str">
        <f t="shared" si="11"/>
        <v/>
      </c>
    </row>
    <row r="790" spans="1:8" ht="19.95" customHeight="1">
      <c r="A790" s="5" t="str">
        <f>IF($G790="","",INDEX('EDS Lookup'!$D$6:$D$2819,$G790))</f>
        <v/>
      </c>
      <c r="B790" s="5" t="str">
        <f>IF($G790="","",INDEX('EDS Lookup'!$B$6:$B$2819,$G790))</f>
        <v/>
      </c>
      <c r="C790" s="17"/>
      <c r="D790" s="6"/>
      <c r="E790" s="7" t="str">
        <f>IF($G790="","",INDEX('EDS Lookup'!$F$6:$F$2819,$G790))</f>
        <v/>
      </c>
      <c r="F790" s="8" t="str">
        <f>IF($G790="","",INDEX('EDS Lookup'!$G$6:$G$2819,$G790))</f>
        <v/>
      </c>
      <c r="G790" t="str">
        <f>IF(767&lt;=$B$4,IFERROR(MATCH(767,'EDS Lookup'!$H$6:$H$2819,0),""),"")</f>
        <v/>
      </c>
      <c r="H790" t="str">
        <f t="shared" si="11"/>
        <v/>
      </c>
    </row>
    <row r="791" spans="1:8" ht="19.95" customHeight="1">
      <c r="A791" s="5" t="str">
        <f>IF($G791="","",INDEX('EDS Lookup'!$D$6:$D$2819,$G791))</f>
        <v/>
      </c>
      <c r="B791" s="5" t="str">
        <f>IF($G791="","",INDEX('EDS Lookup'!$B$6:$B$2819,$G791))</f>
        <v/>
      </c>
      <c r="C791" s="17"/>
      <c r="D791" s="6"/>
      <c r="E791" s="7" t="str">
        <f>IF($G791="","",INDEX('EDS Lookup'!$F$6:$F$2819,$G791))</f>
        <v/>
      </c>
      <c r="F791" s="8" t="str">
        <f>IF($G791="","",INDEX('EDS Lookup'!$G$6:$G$2819,$G791))</f>
        <v/>
      </c>
      <c r="G791" t="str">
        <f>IF(768&lt;=$B$4,IFERROR(MATCH(768,'EDS Lookup'!$H$6:$H$2819,0),""),"")</f>
        <v/>
      </c>
      <c r="H791" t="str">
        <f t="shared" si="11"/>
        <v/>
      </c>
    </row>
    <row r="792" spans="1:8" ht="19.95" customHeight="1">
      <c r="A792" s="5" t="str">
        <f>IF($G792="","",INDEX('EDS Lookup'!$D$6:$D$2819,$G792))</f>
        <v/>
      </c>
      <c r="B792" s="5" t="str">
        <f>IF($G792="","",INDEX('EDS Lookup'!$B$6:$B$2819,$G792))</f>
        <v/>
      </c>
      <c r="C792" s="17"/>
      <c r="D792" s="6"/>
      <c r="E792" s="7" t="str">
        <f>IF($G792="","",INDEX('EDS Lookup'!$F$6:$F$2819,$G792))</f>
        <v/>
      </c>
      <c r="F792" s="8" t="str">
        <f>IF($G792="","",INDEX('EDS Lookup'!$G$6:$G$2819,$G792))</f>
        <v/>
      </c>
      <c r="G792" t="str">
        <f>IF(769&lt;=$B$4,IFERROR(MATCH(769,'EDS Lookup'!$H$6:$H$2819,0),""),"")</f>
        <v/>
      </c>
      <c r="H792" t="str">
        <f t="shared" ref="H792:H855" si="12">IF(F792="&lt;5",5,IF(F792="&gt;95",95,IF(ISNUMBER(F792),F792,"")))</f>
        <v/>
      </c>
    </row>
    <row r="793" spans="1:8" ht="19.95" customHeight="1">
      <c r="A793" s="5" t="str">
        <f>IF($G793="","",INDEX('EDS Lookup'!$D$6:$D$2819,$G793))</f>
        <v/>
      </c>
      <c r="B793" s="5" t="str">
        <f>IF($G793="","",INDEX('EDS Lookup'!$B$6:$B$2819,$G793))</f>
        <v/>
      </c>
      <c r="C793" s="17"/>
      <c r="D793" s="6"/>
      <c r="E793" s="7" t="str">
        <f>IF($G793="","",INDEX('EDS Lookup'!$F$6:$F$2819,$G793))</f>
        <v/>
      </c>
      <c r="F793" s="8" t="str">
        <f>IF($G793="","",INDEX('EDS Lookup'!$G$6:$G$2819,$G793))</f>
        <v/>
      </c>
      <c r="G793" t="str">
        <f>IF(770&lt;=$B$4,IFERROR(MATCH(770,'EDS Lookup'!$H$6:$H$2819,0),""),"")</f>
        <v/>
      </c>
      <c r="H793" t="str">
        <f t="shared" si="12"/>
        <v/>
      </c>
    </row>
    <row r="794" spans="1:8" ht="19.95" customHeight="1">
      <c r="A794" s="5" t="str">
        <f>IF($G794="","",INDEX('EDS Lookup'!$D$6:$D$2819,$G794))</f>
        <v/>
      </c>
      <c r="B794" s="5" t="str">
        <f>IF($G794="","",INDEX('EDS Lookup'!$B$6:$B$2819,$G794))</f>
        <v/>
      </c>
      <c r="C794" s="17"/>
      <c r="D794" s="6"/>
      <c r="E794" s="7" t="str">
        <f>IF($G794="","",INDEX('EDS Lookup'!$F$6:$F$2819,$G794))</f>
        <v/>
      </c>
      <c r="F794" s="8" t="str">
        <f>IF($G794="","",INDEX('EDS Lookup'!$G$6:$G$2819,$G794))</f>
        <v/>
      </c>
      <c r="G794" t="str">
        <f>IF(771&lt;=$B$4,IFERROR(MATCH(771,'EDS Lookup'!$H$6:$H$2819,0),""),"")</f>
        <v/>
      </c>
      <c r="H794" t="str">
        <f t="shared" si="12"/>
        <v/>
      </c>
    </row>
    <row r="795" spans="1:8" ht="19.95" customHeight="1">
      <c r="A795" s="5" t="str">
        <f>IF($G795="","",INDEX('EDS Lookup'!$D$6:$D$2819,$G795))</f>
        <v/>
      </c>
      <c r="B795" s="5" t="str">
        <f>IF($G795="","",INDEX('EDS Lookup'!$B$6:$B$2819,$G795))</f>
        <v/>
      </c>
      <c r="C795" s="17"/>
      <c r="D795" s="6"/>
      <c r="E795" s="7" t="str">
        <f>IF($G795="","",INDEX('EDS Lookup'!$F$6:$F$2819,$G795))</f>
        <v/>
      </c>
      <c r="F795" s="8" t="str">
        <f>IF($G795="","",INDEX('EDS Lookup'!$G$6:$G$2819,$G795))</f>
        <v/>
      </c>
      <c r="G795" t="str">
        <f>IF(772&lt;=$B$4,IFERROR(MATCH(772,'EDS Lookup'!$H$6:$H$2819,0),""),"")</f>
        <v/>
      </c>
      <c r="H795" t="str">
        <f t="shared" si="12"/>
        <v/>
      </c>
    </row>
    <row r="796" spans="1:8" ht="19.95" customHeight="1">
      <c r="A796" s="5" t="str">
        <f>IF($G796="","",INDEX('EDS Lookup'!$D$6:$D$2819,$G796))</f>
        <v/>
      </c>
      <c r="B796" s="5" t="str">
        <f>IF($G796="","",INDEX('EDS Lookup'!$B$6:$B$2819,$G796))</f>
        <v/>
      </c>
      <c r="C796" s="17"/>
      <c r="D796" s="6"/>
      <c r="E796" s="7" t="str">
        <f>IF($G796="","",INDEX('EDS Lookup'!$F$6:$F$2819,$G796))</f>
        <v/>
      </c>
      <c r="F796" s="8" t="str">
        <f>IF($G796="","",INDEX('EDS Lookup'!$G$6:$G$2819,$G796))</f>
        <v/>
      </c>
      <c r="G796" t="str">
        <f>IF(773&lt;=$B$4,IFERROR(MATCH(773,'EDS Lookup'!$H$6:$H$2819,0),""),"")</f>
        <v/>
      </c>
      <c r="H796" t="str">
        <f t="shared" si="12"/>
        <v/>
      </c>
    </row>
    <row r="797" spans="1:8" ht="19.95" customHeight="1">
      <c r="A797" s="5" t="str">
        <f>IF($G797="","",INDEX('EDS Lookup'!$D$6:$D$2819,$G797))</f>
        <v/>
      </c>
      <c r="B797" s="5" t="str">
        <f>IF($G797="","",INDEX('EDS Lookup'!$B$6:$B$2819,$G797))</f>
        <v/>
      </c>
      <c r="C797" s="17"/>
      <c r="D797" s="6"/>
      <c r="E797" s="7" t="str">
        <f>IF($G797="","",INDEX('EDS Lookup'!$F$6:$F$2819,$G797))</f>
        <v/>
      </c>
      <c r="F797" s="8" t="str">
        <f>IF($G797="","",INDEX('EDS Lookup'!$G$6:$G$2819,$G797))</f>
        <v/>
      </c>
      <c r="G797" t="str">
        <f>IF(774&lt;=$B$4,IFERROR(MATCH(774,'EDS Lookup'!$H$6:$H$2819,0),""),"")</f>
        <v/>
      </c>
      <c r="H797" t="str">
        <f t="shared" si="12"/>
        <v/>
      </c>
    </row>
    <row r="798" spans="1:8" ht="19.95" customHeight="1">
      <c r="A798" s="5" t="str">
        <f>IF($G798="","",INDEX('EDS Lookup'!$D$6:$D$2819,$G798))</f>
        <v/>
      </c>
      <c r="B798" s="5" t="str">
        <f>IF($G798="","",INDEX('EDS Lookup'!$B$6:$B$2819,$G798))</f>
        <v/>
      </c>
      <c r="C798" s="17"/>
      <c r="D798" s="6"/>
      <c r="E798" s="7" t="str">
        <f>IF($G798="","",INDEX('EDS Lookup'!$F$6:$F$2819,$G798))</f>
        <v/>
      </c>
      <c r="F798" s="8" t="str">
        <f>IF($G798="","",INDEX('EDS Lookup'!$G$6:$G$2819,$G798))</f>
        <v/>
      </c>
      <c r="G798" t="str">
        <f>IF(775&lt;=$B$4,IFERROR(MATCH(775,'EDS Lookup'!$H$6:$H$2819,0),""),"")</f>
        <v/>
      </c>
      <c r="H798" t="str">
        <f t="shared" si="12"/>
        <v/>
      </c>
    </row>
    <row r="799" spans="1:8" ht="19.95" customHeight="1">
      <c r="A799" s="5" t="str">
        <f>IF($G799="","",INDEX('EDS Lookup'!$D$6:$D$2819,$G799))</f>
        <v/>
      </c>
      <c r="B799" s="5" t="str">
        <f>IF($G799="","",INDEX('EDS Lookup'!$B$6:$B$2819,$G799))</f>
        <v/>
      </c>
      <c r="C799" s="17"/>
      <c r="D799" s="6"/>
      <c r="E799" s="7" t="str">
        <f>IF($G799="","",INDEX('EDS Lookup'!$F$6:$F$2819,$G799))</f>
        <v/>
      </c>
      <c r="F799" s="8" t="str">
        <f>IF($G799="","",INDEX('EDS Lookup'!$G$6:$G$2819,$G799))</f>
        <v/>
      </c>
      <c r="G799" t="str">
        <f>IF(776&lt;=$B$4,IFERROR(MATCH(776,'EDS Lookup'!$H$6:$H$2819,0),""),"")</f>
        <v/>
      </c>
      <c r="H799" t="str">
        <f t="shared" si="12"/>
        <v/>
      </c>
    </row>
    <row r="800" spans="1:8" ht="19.95" customHeight="1">
      <c r="A800" s="5" t="str">
        <f>IF($G800="","",INDEX('EDS Lookup'!$D$6:$D$2819,$G800))</f>
        <v/>
      </c>
      <c r="B800" s="5" t="str">
        <f>IF($G800="","",INDEX('EDS Lookup'!$B$6:$B$2819,$G800))</f>
        <v/>
      </c>
      <c r="C800" s="17"/>
      <c r="D800" s="6"/>
      <c r="E800" s="7" t="str">
        <f>IF($G800="","",INDEX('EDS Lookup'!$F$6:$F$2819,$G800))</f>
        <v/>
      </c>
      <c r="F800" s="8" t="str">
        <f>IF($G800="","",INDEX('EDS Lookup'!$G$6:$G$2819,$G800))</f>
        <v/>
      </c>
      <c r="G800" t="str">
        <f>IF(777&lt;=$B$4,IFERROR(MATCH(777,'EDS Lookup'!$H$6:$H$2819,0),""),"")</f>
        <v/>
      </c>
      <c r="H800" t="str">
        <f t="shared" si="12"/>
        <v/>
      </c>
    </row>
    <row r="801" spans="1:8" ht="19.95" customHeight="1">
      <c r="A801" s="5" t="str">
        <f>IF($G801="","",INDEX('EDS Lookup'!$D$6:$D$2819,$G801))</f>
        <v/>
      </c>
      <c r="B801" s="5" t="str">
        <f>IF($G801="","",INDEX('EDS Lookup'!$B$6:$B$2819,$G801))</f>
        <v/>
      </c>
      <c r="C801" s="17"/>
      <c r="D801" s="6"/>
      <c r="E801" s="7" t="str">
        <f>IF($G801="","",INDEX('EDS Lookup'!$F$6:$F$2819,$G801))</f>
        <v/>
      </c>
      <c r="F801" s="8" t="str">
        <f>IF($G801="","",INDEX('EDS Lookup'!$G$6:$G$2819,$G801))</f>
        <v/>
      </c>
      <c r="G801" t="str">
        <f>IF(778&lt;=$B$4,IFERROR(MATCH(778,'EDS Lookup'!$H$6:$H$2819,0),""),"")</f>
        <v/>
      </c>
      <c r="H801" t="str">
        <f t="shared" si="12"/>
        <v/>
      </c>
    </row>
    <row r="802" spans="1:8" ht="19.95" customHeight="1">
      <c r="A802" s="5" t="str">
        <f>IF($G802="","",INDEX('EDS Lookup'!$D$6:$D$2819,$G802))</f>
        <v/>
      </c>
      <c r="B802" s="5" t="str">
        <f>IF($G802="","",INDEX('EDS Lookup'!$B$6:$B$2819,$G802))</f>
        <v/>
      </c>
      <c r="C802" s="17"/>
      <c r="D802" s="6"/>
      <c r="E802" s="7" t="str">
        <f>IF($G802="","",INDEX('EDS Lookup'!$F$6:$F$2819,$G802))</f>
        <v/>
      </c>
      <c r="F802" s="8" t="str">
        <f>IF($G802="","",INDEX('EDS Lookup'!$G$6:$G$2819,$G802))</f>
        <v/>
      </c>
      <c r="G802" t="str">
        <f>IF(779&lt;=$B$4,IFERROR(MATCH(779,'EDS Lookup'!$H$6:$H$2819,0),""),"")</f>
        <v/>
      </c>
      <c r="H802" t="str">
        <f t="shared" si="12"/>
        <v/>
      </c>
    </row>
    <row r="803" spans="1:8" ht="19.95" customHeight="1">
      <c r="A803" s="5" t="str">
        <f>IF($G803="","",INDEX('EDS Lookup'!$D$6:$D$2819,$G803))</f>
        <v/>
      </c>
      <c r="B803" s="5" t="str">
        <f>IF($G803="","",INDEX('EDS Lookup'!$B$6:$B$2819,$G803))</f>
        <v/>
      </c>
      <c r="C803" s="17"/>
      <c r="D803" s="6"/>
      <c r="E803" s="7" t="str">
        <f>IF($G803="","",INDEX('EDS Lookup'!$F$6:$F$2819,$G803))</f>
        <v/>
      </c>
      <c r="F803" s="8" t="str">
        <f>IF($G803="","",INDEX('EDS Lookup'!$G$6:$G$2819,$G803))</f>
        <v/>
      </c>
      <c r="G803" t="str">
        <f>IF(780&lt;=$B$4,IFERROR(MATCH(780,'EDS Lookup'!$H$6:$H$2819,0),""),"")</f>
        <v/>
      </c>
      <c r="H803" t="str">
        <f t="shared" si="12"/>
        <v/>
      </c>
    </row>
    <row r="804" spans="1:8" ht="19.95" customHeight="1">
      <c r="A804" s="5" t="str">
        <f>IF($G804="","",INDEX('EDS Lookup'!$D$6:$D$2819,$G804))</f>
        <v/>
      </c>
      <c r="B804" s="5" t="str">
        <f>IF($G804="","",INDEX('EDS Lookup'!$B$6:$B$2819,$G804))</f>
        <v/>
      </c>
      <c r="C804" s="17"/>
      <c r="D804" s="6"/>
      <c r="E804" s="7" t="str">
        <f>IF($G804="","",INDEX('EDS Lookup'!$F$6:$F$2819,$G804))</f>
        <v/>
      </c>
      <c r="F804" s="8" t="str">
        <f>IF($G804="","",INDEX('EDS Lookup'!$G$6:$G$2819,$G804))</f>
        <v/>
      </c>
      <c r="G804" t="str">
        <f>IF(781&lt;=$B$4,IFERROR(MATCH(781,'EDS Lookup'!$H$6:$H$2819,0),""),"")</f>
        <v/>
      </c>
      <c r="H804" t="str">
        <f t="shared" si="12"/>
        <v/>
      </c>
    </row>
    <row r="805" spans="1:8" ht="19.95" customHeight="1">
      <c r="A805" s="5" t="str">
        <f>IF($G805="","",INDEX('EDS Lookup'!$D$6:$D$2819,$G805))</f>
        <v/>
      </c>
      <c r="B805" s="5" t="str">
        <f>IF($G805="","",INDEX('EDS Lookup'!$B$6:$B$2819,$G805))</f>
        <v/>
      </c>
      <c r="C805" s="17"/>
      <c r="D805" s="6"/>
      <c r="E805" s="7" t="str">
        <f>IF($G805="","",INDEX('EDS Lookup'!$F$6:$F$2819,$G805))</f>
        <v/>
      </c>
      <c r="F805" s="8" t="str">
        <f>IF($G805="","",INDEX('EDS Lookup'!$G$6:$G$2819,$G805))</f>
        <v/>
      </c>
      <c r="G805" t="str">
        <f>IF(782&lt;=$B$4,IFERROR(MATCH(782,'EDS Lookup'!$H$6:$H$2819,0),""),"")</f>
        <v/>
      </c>
      <c r="H805" t="str">
        <f t="shared" si="12"/>
        <v/>
      </c>
    </row>
    <row r="806" spans="1:8" ht="19.95" customHeight="1">
      <c r="A806" s="5" t="str">
        <f>IF($G806="","",INDEX('EDS Lookup'!$D$6:$D$2819,$G806))</f>
        <v/>
      </c>
      <c r="B806" s="5" t="str">
        <f>IF($G806="","",INDEX('EDS Lookup'!$B$6:$B$2819,$G806))</f>
        <v/>
      </c>
      <c r="C806" s="17"/>
      <c r="D806" s="6"/>
      <c r="E806" s="7" t="str">
        <f>IF($G806="","",INDEX('EDS Lookup'!$F$6:$F$2819,$G806))</f>
        <v/>
      </c>
      <c r="F806" s="8" t="str">
        <f>IF($G806="","",INDEX('EDS Lookup'!$G$6:$G$2819,$G806))</f>
        <v/>
      </c>
      <c r="G806" t="str">
        <f>IF(783&lt;=$B$4,IFERROR(MATCH(783,'EDS Lookup'!$H$6:$H$2819,0),""),"")</f>
        <v/>
      </c>
      <c r="H806" t="str">
        <f t="shared" si="12"/>
        <v/>
      </c>
    </row>
    <row r="807" spans="1:8" ht="19.95" customHeight="1">
      <c r="A807" s="5" t="str">
        <f>IF($G807="","",INDEX('EDS Lookup'!$D$6:$D$2819,$G807))</f>
        <v/>
      </c>
      <c r="B807" s="5" t="str">
        <f>IF($G807="","",INDEX('EDS Lookup'!$B$6:$B$2819,$G807))</f>
        <v/>
      </c>
      <c r="C807" s="17"/>
      <c r="D807" s="6"/>
      <c r="E807" s="7" t="str">
        <f>IF($G807="","",INDEX('EDS Lookup'!$F$6:$F$2819,$G807))</f>
        <v/>
      </c>
      <c r="F807" s="8" t="str">
        <f>IF($G807="","",INDEX('EDS Lookup'!$G$6:$G$2819,$G807))</f>
        <v/>
      </c>
      <c r="G807" t="str">
        <f>IF(784&lt;=$B$4,IFERROR(MATCH(784,'EDS Lookup'!$H$6:$H$2819,0),""),"")</f>
        <v/>
      </c>
      <c r="H807" t="str">
        <f t="shared" si="12"/>
        <v/>
      </c>
    </row>
    <row r="808" spans="1:8" ht="19.95" customHeight="1">
      <c r="A808" s="5" t="str">
        <f>IF($G808="","",INDEX('EDS Lookup'!$D$6:$D$2819,$G808))</f>
        <v/>
      </c>
      <c r="B808" s="5" t="str">
        <f>IF($G808="","",INDEX('EDS Lookup'!$B$6:$B$2819,$G808))</f>
        <v/>
      </c>
      <c r="C808" s="17"/>
      <c r="D808" s="6"/>
      <c r="E808" s="7" t="str">
        <f>IF($G808="","",INDEX('EDS Lookup'!$F$6:$F$2819,$G808))</f>
        <v/>
      </c>
      <c r="F808" s="8" t="str">
        <f>IF($G808="","",INDEX('EDS Lookup'!$G$6:$G$2819,$G808))</f>
        <v/>
      </c>
      <c r="G808" t="str">
        <f>IF(785&lt;=$B$4,IFERROR(MATCH(785,'EDS Lookup'!$H$6:$H$2819,0),""),"")</f>
        <v/>
      </c>
      <c r="H808" t="str">
        <f t="shared" si="12"/>
        <v/>
      </c>
    </row>
    <row r="809" spans="1:8" ht="19.95" customHeight="1">
      <c r="A809" s="5" t="str">
        <f>IF($G809="","",INDEX('EDS Lookup'!$D$6:$D$2819,$G809))</f>
        <v/>
      </c>
      <c r="B809" s="5" t="str">
        <f>IF($G809="","",INDEX('EDS Lookup'!$B$6:$B$2819,$G809))</f>
        <v/>
      </c>
      <c r="C809" s="17"/>
      <c r="D809" s="6"/>
      <c r="E809" s="7" t="str">
        <f>IF($G809="","",INDEX('EDS Lookup'!$F$6:$F$2819,$G809))</f>
        <v/>
      </c>
      <c r="F809" s="8" t="str">
        <f>IF($G809="","",INDEX('EDS Lookup'!$G$6:$G$2819,$G809))</f>
        <v/>
      </c>
      <c r="G809" t="str">
        <f>IF(786&lt;=$B$4,IFERROR(MATCH(786,'EDS Lookup'!$H$6:$H$2819,0),""),"")</f>
        <v/>
      </c>
      <c r="H809" t="str">
        <f t="shared" si="12"/>
        <v/>
      </c>
    </row>
    <row r="810" spans="1:8" ht="19.95" customHeight="1">
      <c r="A810" s="5" t="str">
        <f>IF($G810="","",INDEX('EDS Lookup'!$D$6:$D$2819,$G810))</f>
        <v/>
      </c>
      <c r="B810" s="5" t="str">
        <f>IF($G810="","",INDEX('EDS Lookup'!$B$6:$B$2819,$G810))</f>
        <v/>
      </c>
      <c r="C810" s="17"/>
      <c r="D810" s="6"/>
      <c r="E810" s="7" t="str">
        <f>IF($G810="","",INDEX('EDS Lookup'!$F$6:$F$2819,$G810))</f>
        <v/>
      </c>
      <c r="F810" s="8" t="str">
        <f>IF($G810="","",INDEX('EDS Lookup'!$G$6:$G$2819,$G810))</f>
        <v/>
      </c>
      <c r="G810" t="str">
        <f>IF(787&lt;=$B$4,IFERROR(MATCH(787,'EDS Lookup'!$H$6:$H$2819,0),""),"")</f>
        <v/>
      </c>
      <c r="H810" t="str">
        <f t="shared" si="12"/>
        <v/>
      </c>
    </row>
    <row r="811" spans="1:8" ht="19.95" customHeight="1">
      <c r="A811" s="5" t="str">
        <f>IF($G811="","",INDEX('EDS Lookup'!$D$6:$D$2819,$G811))</f>
        <v/>
      </c>
      <c r="B811" s="5" t="str">
        <f>IF($G811="","",INDEX('EDS Lookup'!$B$6:$B$2819,$G811))</f>
        <v/>
      </c>
      <c r="C811" s="17"/>
      <c r="D811" s="6"/>
      <c r="E811" s="7" t="str">
        <f>IF($G811="","",INDEX('EDS Lookup'!$F$6:$F$2819,$G811))</f>
        <v/>
      </c>
      <c r="F811" s="8" t="str">
        <f>IF($G811="","",INDEX('EDS Lookup'!$G$6:$G$2819,$G811))</f>
        <v/>
      </c>
      <c r="G811" t="str">
        <f>IF(788&lt;=$B$4,IFERROR(MATCH(788,'EDS Lookup'!$H$6:$H$2819,0),""),"")</f>
        <v/>
      </c>
      <c r="H811" t="str">
        <f t="shared" si="12"/>
        <v/>
      </c>
    </row>
    <row r="812" spans="1:8" ht="19.95" customHeight="1">
      <c r="A812" s="5" t="str">
        <f>IF($G812="","",INDEX('EDS Lookup'!$D$6:$D$2819,$G812))</f>
        <v/>
      </c>
      <c r="B812" s="5" t="str">
        <f>IF($G812="","",INDEX('EDS Lookup'!$B$6:$B$2819,$G812))</f>
        <v/>
      </c>
      <c r="C812" s="17"/>
      <c r="D812" s="6"/>
      <c r="E812" s="7" t="str">
        <f>IF($G812="","",INDEX('EDS Lookup'!$F$6:$F$2819,$G812))</f>
        <v/>
      </c>
      <c r="F812" s="8" t="str">
        <f>IF($G812="","",INDEX('EDS Lookup'!$G$6:$G$2819,$G812))</f>
        <v/>
      </c>
      <c r="G812" t="str">
        <f>IF(789&lt;=$B$4,IFERROR(MATCH(789,'EDS Lookup'!$H$6:$H$2819,0),""),"")</f>
        <v/>
      </c>
      <c r="H812" t="str">
        <f t="shared" si="12"/>
        <v/>
      </c>
    </row>
    <row r="813" spans="1:8" ht="19.95" customHeight="1">
      <c r="A813" s="5" t="str">
        <f>IF($G813="","",INDEX('EDS Lookup'!$D$6:$D$2819,$G813))</f>
        <v/>
      </c>
      <c r="B813" s="5" t="str">
        <f>IF($G813="","",INDEX('EDS Lookup'!$B$6:$B$2819,$G813))</f>
        <v/>
      </c>
      <c r="C813" s="17"/>
      <c r="D813" s="6"/>
      <c r="E813" s="7" t="str">
        <f>IF($G813="","",INDEX('EDS Lookup'!$F$6:$F$2819,$G813))</f>
        <v/>
      </c>
      <c r="F813" s="8" t="str">
        <f>IF($G813="","",INDEX('EDS Lookup'!$G$6:$G$2819,$G813))</f>
        <v/>
      </c>
      <c r="G813" t="str">
        <f>IF(790&lt;=$B$4,IFERROR(MATCH(790,'EDS Lookup'!$H$6:$H$2819,0),""),"")</f>
        <v/>
      </c>
      <c r="H813" t="str">
        <f t="shared" si="12"/>
        <v/>
      </c>
    </row>
    <row r="814" spans="1:8" ht="19.95" customHeight="1">
      <c r="A814" s="5" t="str">
        <f>IF($G814="","",INDEX('EDS Lookup'!$D$6:$D$2819,$G814))</f>
        <v/>
      </c>
      <c r="B814" s="5" t="str">
        <f>IF($G814="","",INDEX('EDS Lookup'!$B$6:$B$2819,$G814))</f>
        <v/>
      </c>
      <c r="C814" s="17"/>
      <c r="D814" s="6"/>
      <c r="E814" s="7" t="str">
        <f>IF($G814="","",INDEX('EDS Lookup'!$F$6:$F$2819,$G814))</f>
        <v/>
      </c>
      <c r="F814" s="8" t="str">
        <f>IF($G814="","",INDEX('EDS Lookup'!$G$6:$G$2819,$G814))</f>
        <v/>
      </c>
      <c r="G814" t="str">
        <f>IF(791&lt;=$B$4,IFERROR(MATCH(791,'EDS Lookup'!$H$6:$H$2819,0),""),"")</f>
        <v/>
      </c>
      <c r="H814" t="str">
        <f t="shared" si="12"/>
        <v/>
      </c>
    </row>
    <row r="815" spans="1:8" ht="19.95" customHeight="1">
      <c r="A815" s="5" t="str">
        <f>IF($G815="","",INDEX('EDS Lookup'!$D$6:$D$2819,$G815))</f>
        <v/>
      </c>
      <c r="B815" s="5" t="str">
        <f>IF($G815="","",INDEX('EDS Lookup'!$B$6:$B$2819,$G815))</f>
        <v/>
      </c>
      <c r="C815" s="17"/>
      <c r="D815" s="6"/>
      <c r="E815" s="7" t="str">
        <f>IF($G815="","",INDEX('EDS Lookup'!$F$6:$F$2819,$G815))</f>
        <v/>
      </c>
      <c r="F815" s="8" t="str">
        <f>IF($G815="","",INDEX('EDS Lookup'!$G$6:$G$2819,$G815))</f>
        <v/>
      </c>
      <c r="G815" t="str">
        <f>IF(792&lt;=$B$4,IFERROR(MATCH(792,'EDS Lookup'!$H$6:$H$2819,0),""),"")</f>
        <v/>
      </c>
      <c r="H815" t="str">
        <f t="shared" si="12"/>
        <v/>
      </c>
    </row>
    <row r="816" spans="1:8" ht="19.95" customHeight="1">
      <c r="A816" s="5" t="str">
        <f>IF($G816="","",INDEX('EDS Lookup'!$D$6:$D$2819,$G816))</f>
        <v/>
      </c>
      <c r="B816" s="5" t="str">
        <f>IF($G816="","",INDEX('EDS Lookup'!$B$6:$B$2819,$G816))</f>
        <v/>
      </c>
      <c r="C816" s="17"/>
      <c r="D816" s="6"/>
      <c r="E816" s="7" t="str">
        <f>IF($G816="","",INDEX('EDS Lookup'!$F$6:$F$2819,$G816))</f>
        <v/>
      </c>
      <c r="F816" s="8" t="str">
        <f>IF($G816="","",INDEX('EDS Lookup'!$G$6:$G$2819,$G816))</f>
        <v/>
      </c>
      <c r="G816" t="str">
        <f>IF(793&lt;=$B$4,IFERROR(MATCH(793,'EDS Lookup'!$H$6:$H$2819,0),""),"")</f>
        <v/>
      </c>
      <c r="H816" t="str">
        <f t="shared" si="12"/>
        <v/>
      </c>
    </row>
    <row r="817" spans="1:8" ht="19.95" customHeight="1">
      <c r="A817" s="5" t="str">
        <f>IF($G817="","",INDEX('EDS Lookup'!$D$6:$D$2819,$G817))</f>
        <v/>
      </c>
      <c r="B817" s="5" t="str">
        <f>IF($G817="","",INDEX('EDS Lookup'!$B$6:$B$2819,$G817))</f>
        <v/>
      </c>
      <c r="C817" s="17"/>
      <c r="D817" s="6"/>
      <c r="E817" s="7" t="str">
        <f>IF($G817="","",INDEX('EDS Lookup'!$F$6:$F$2819,$G817))</f>
        <v/>
      </c>
      <c r="F817" s="8" t="str">
        <f>IF($G817="","",INDEX('EDS Lookup'!$G$6:$G$2819,$G817))</f>
        <v/>
      </c>
      <c r="G817" t="str">
        <f>IF(794&lt;=$B$4,IFERROR(MATCH(794,'EDS Lookup'!$H$6:$H$2819,0),""),"")</f>
        <v/>
      </c>
      <c r="H817" t="str">
        <f t="shared" si="12"/>
        <v/>
      </c>
    </row>
    <row r="818" spans="1:8" ht="19.95" customHeight="1">
      <c r="A818" s="5" t="str">
        <f>IF($G818="","",INDEX('EDS Lookup'!$D$6:$D$2819,$G818))</f>
        <v/>
      </c>
      <c r="B818" s="5" t="str">
        <f>IF($G818="","",INDEX('EDS Lookup'!$B$6:$B$2819,$G818))</f>
        <v/>
      </c>
      <c r="C818" s="17"/>
      <c r="D818" s="6"/>
      <c r="E818" s="7" t="str">
        <f>IF($G818="","",INDEX('EDS Lookup'!$F$6:$F$2819,$G818))</f>
        <v/>
      </c>
      <c r="F818" s="8" t="str">
        <f>IF($G818="","",INDEX('EDS Lookup'!$G$6:$G$2819,$G818))</f>
        <v/>
      </c>
      <c r="G818" t="str">
        <f>IF(795&lt;=$B$4,IFERROR(MATCH(795,'EDS Lookup'!$H$6:$H$2819,0),""),"")</f>
        <v/>
      </c>
      <c r="H818" t="str">
        <f t="shared" si="12"/>
        <v/>
      </c>
    </row>
    <row r="819" spans="1:8" ht="19.95" customHeight="1">
      <c r="A819" s="5" t="str">
        <f>IF($G819="","",INDEX('EDS Lookup'!$D$6:$D$2819,$G819))</f>
        <v/>
      </c>
      <c r="B819" s="5" t="str">
        <f>IF($G819="","",INDEX('EDS Lookup'!$B$6:$B$2819,$G819))</f>
        <v/>
      </c>
      <c r="C819" s="17"/>
      <c r="D819" s="6"/>
      <c r="E819" s="7" t="str">
        <f>IF($G819="","",INDEX('EDS Lookup'!$F$6:$F$2819,$G819))</f>
        <v/>
      </c>
      <c r="F819" s="8" t="str">
        <f>IF($G819="","",INDEX('EDS Lookup'!$G$6:$G$2819,$G819))</f>
        <v/>
      </c>
      <c r="G819" t="str">
        <f>IF(796&lt;=$B$4,IFERROR(MATCH(796,'EDS Lookup'!$H$6:$H$2819,0),""),"")</f>
        <v/>
      </c>
      <c r="H819" t="str">
        <f t="shared" si="12"/>
        <v/>
      </c>
    </row>
    <row r="820" spans="1:8" ht="19.95" customHeight="1">
      <c r="A820" s="5" t="str">
        <f>IF($G820="","",INDEX('EDS Lookup'!$D$6:$D$2819,$G820))</f>
        <v/>
      </c>
      <c r="B820" s="5" t="str">
        <f>IF($G820="","",INDEX('EDS Lookup'!$B$6:$B$2819,$G820))</f>
        <v/>
      </c>
      <c r="C820" s="17"/>
      <c r="D820" s="6"/>
      <c r="E820" s="7" t="str">
        <f>IF($G820="","",INDEX('EDS Lookup'!$F$6:$F$2819,$G820))</f>
        <v/>
      </c>
      <c r="F820" s="8" t="str">
        <f>IF($G820="","",INDEX('EDS Lookup'!$G$6:$G$2819,$G820))</f>
        <v/>
      </c>
      <c r="G820" t="str">
        <f>IF(797&lt;=$B$4,IFERROR(MATCH(797,'EDS Lookup'!$H$6:$H$2819,0),""),"")</f>
        <v/>
      </c>
      <c r="H820" t="str">
        <f t="shared" si="12"/>
        <v/>
      </c>
    </row>
    <row r="821" spans="1:8" ht="19.95" customHeight="1">
      <c r="A821" s="5" t="str">
        <f>IF($G821="","",INDEX('EDS Lookup'!$D$6:$D$2819,$G821))</f>
        <v/>
      </c>
      <c r="B821" s="5" t="str">
        <f>IF($G821="","",INDEX('EDS Lookup'!$B$6:$B$2819,$G821))</f>
        <v/>
      </c>
      <c r="C821" s="17"/>
      <c r="D821" s="6"/>
      <c r="E821" s="7" t="str">
        <f>IF($G821="","",INDEX('EDS Lookup'!$F$6:$F$2819,$G821))</f>
        <v/>
      </c>
      <c r="F821" s="8" t="str">
        <f>IF($G821="","",INDEX('EDS Lookup'!$G$6:$G$2819,$G821))</f>
        <v/>
      </c>
      <c r="G821" t="str">
        <f>IF(798&lt;=$B$4,IFERROR(MATCH(798,'EDS Lookup'!$H$6:$H$2819,0),""),"")</f>
        <v/>
      </c>
      <c r="H821" t="str">
        <f t="shared" si="12"/>
        <v/>
      </c>
    </row>
    <row r="822" spans="1:8" ht="19.95" customHeight="1">
      <c r="A822" s="5" t="str">
        <f>IF($G822="","",INDEX('EDS Lookup'!$D$6:$D$2819,$G822))</f>
        <v/>
      </c>
      <c r="B822" s="5" t="str">
        <f>IF($G822="","",INDEX('EDS Lookup'!$B$6:$B$2819,$G822))</f>
        <v/>
      </c>
      <c r="C822" s="17"/>
      <c r="D822" s="6"/>
      <c r="E822" s="7" t="str">
        <f>IF($G822="","",INDEX('EDS Lookup'!$F$6:$F$2819,$G822))</f>
        <v/>
      </c>
      <c r="F822" s="8" t="str">
        <f>IF($G822="","",INDEX('EDS Lookup'!$G$6:$G$2819,$G822))</f>
        <v/>
      </c>
      <c r="G822" t="str">
        <f>IF(799&lt;=$B$4,IFERROR(MATCH(799,'EDS Lookup'!$H$6:$H$2819,0),""),"")</f>
        <v/>
      </c>
      <c r="H822" t="str">
        <f t="shared" si="12"/>
        <v/>
      </c>
    </row>
    <row r="823" spans="1:8" ht="19.95" customHeight="1">
      <c r="A823" s="5" t="str">
        <f>IF($G823="","",INDEX('EDS Lookup'!$D$6:$D$2819,$G823))</f>
        <v/>
      </c>
      <c r="B823" s="5" t="str">
        <f>IF($G823="","",INDEX('EDS Lookup'!$B$6:$B$2819,$G823))</f>
        <v/>
      </c>
      <c r="C823" s="17"/>
      <c r="D823" s="6"/>
      <c r="E823" s="7" t="str">
        <f>IF($G823="","",INDEX('EDS Lookup'!$F$6:$F$2819,$G823))</f>
        <v/>
      </c>
      <c r="F823" s="8" t="str">
        <f>IF($G823="","",INDEX('EDS Lookup'!$G$6:$G$2819,$G823))</f>
        <v/>
      </c>
      <c r="G823" t="str">
        <f>IF(800&lt;=$B$4,IFERROR(MATCH(800,'EDS Lookup'!$H$6:$H$2819,0),""),"")</f>
        <v/>
      </c>
      <c r="H823" t="str">
        <f t="shared" si="12"/>
        <v/>
      </c>
    </row>
    <row r="824" spans="1:8" ht="19.95" customHeight="1">
      <c r="A824" s="5" t="str">
        <f>IF($G824="","",INDEX('EDS Lookup'!$D$6:$D$2819,$G824))</f>
        <v/>
      </c>
      <c r="B824" s="5" t="str">
        <f>IF($G824="","",INDEX('EDS Lookup'!$B$6:$B$2819,$G824))</f>
        <v/>
      </c>
      <c r="C824" s="17"/>
      <c r="D824" s="6"/>
      <c r="E824" s="7" t="str">
        <f>IF($G824="","",INDEX('EDS Lookup'!$F$6:$F$2819,$G824))</f>
        <v/>
      </c>
      <c r="F824" s="8" t="str">
        <f>IF($G824="","",INDEX('EDS Lookup'!$G$6:$G$2819,$G824))</f>
        <v/>
      </c>
      <c r="G824" t="str">
        <f>IF(801&lt;=$B$4,IFERROR(MATCH(801,'EDS Lookup'!$H$6:$H$2819,0),""),"")</f>
        <v/>
      </c>
      <c r="H824" t="str">
        <f t="shared" si="12"/>
        <v/>
      </c>
    </row>
    <row r="825" spans="1:8" ht="19.95" customHeight="1">
      <c r="A825" s="5" t="str">
        <f>IF($G825="","",INDEX('EDS Lookup'!$D$6:$D$2819,$G825))</f>
        <v/>
      </c>
      <c r="B825" s="5" t="str">
        <f>IF($G825="","",INDEX('EDS Lookup'!$B$6:$B$2819,$G825))</f>
        <v/>
      </c>
      <c r="C825" s="17"/>
      <c r="D825" s="6"/>
      <c r="E825" s="7" t="str">
        <f>IF($G825="","",INDEX('EDS Lookup'!$F$6:$F$2819,$G825))</f>
        <v/>
      </c>
      <c r="F825" s="8" t="str">
        <f>IF($G825="","",INDEX('EDS Lookup'!$G$6:$G$2819,$G825))</f>
        <v/>
      </c>
      <c r="G825" t="str">
        <f>IF(802&lt;=$B$4,IFERROR(MATCH(802,'EDS Lookup'!$H$6:$H$2819,0),""),"")</f>
        <v/>
      </c>
      <c r="H825" t="str">
        <f t="shared" si="12"/>
        <v/>
      </c>
    </row>
    <row r="826" spans="1:8" ht="19.95" customHeight="1">
      <c r="A826" s="5" t="str">
        <f>IF($G826="","",INDEX('EDS Lookup'!$D$6:$D$2819,$G826))</f>
        <v/>
      </c>
      <c r="B826" s="5" t="str">
        <f>IF($G826="","",INDEX('EDS Lookup'!$B$6:$B$2819,$G826))</f>
        <v/>
      </c>
      <c r="C826" s="17"/>
      <c r="D826" s="6"/>
      <c r="E826" s="7" t="str">
        <f>IF($G826="","",INDEX('EDS Lookup'!$F$6:$F$2819,$G826))</f>
        <v/>
      </c>
      <c r="F826" s="8" t="str">
        <f>IF($G826="","",INDEX('EDS Lookup'!$G$6:$G$2819,$G826))</f>
        <v/>
      </c>
      <c r="G826" t="str">
        <f>IF(803&lt;=$B$4,IFERROR(MATCH(803,'EDS Lookup'!$H$6:$H$2819,0),""),"")</f>
        <v/>
      </c>
      <c r="H826" t="str">
        <f t="shared" si="12"/>
        <v/>
      </c>
    </row>
    <row r="827" spans="1:8" ht="19.95" customHeight="1">
      <c r="A827" s="5" t="str">
        <f>IF($G827="","",INDEX('EDS Lookup'!$D$6:$D$2819,$G827))</f>
        <v/>
      </c>
      <c r="B827" s="5" t="str">
        <f>IF($G827="","",INDEX('EDS Lookup'!$B$6:$B$2819,$G827))</f>
        <v/>
      </c>
      <c r="C827" s="17"/>
      <c r="D827" s="6"/>
      <c r="E827" s="7" t="str">
        <f>IF($G827="","",INDEX('EDS Lookup'!$F$6:$F$2819,$G827))</f>
        <v/>
      </c>
      <c r="F827" s="8" t="str">
        <f>IF($G827="","",INDEX('EDS Lookup'!$G$6:$G$2819,$G827))</f>
        <v/>
      </c>
      <c r="G827" t="str">
        <f>IF(804&lt;=$B$4,IFERROR(MATCH(804,'EDS Lookup'!$H$6:$H$2819,0),""),"")</f>
        <v/>
      </c>
      <c r="H827" t="str">
        <f t="shared" si="12"/>
        <v/>
      </c>
    </row>
    <row r="828" spans="1:8" ht="19.95" customHeight="1">
      <c r="A828" s="5" t="str">
        <f>IF($G828="","",INDEX('EDS Lookup'!$D$6:$D$2819,$G828))</f>
        <v/>
      </c>
      <c r="B828" s="5" t="str">
        <f>IF($G828="","",INDEX('EDS Lookup'!$B$6:$B$2819,$G828))</f>
        <v/>
      </c>
      <c r="C828" s="17"/>
      <c r="D828" s="6"/>
      <c r="E828" s="7" t="str">
        <f>IF($G828="","",INDEX('EDS Lookup'!$F$6:$F$2819,$G828))</f>
        <v/>
      </c>
      <c r="F828" s="8" t="str">
        <f>IF($G828="","",INDEX('EDS Lookup'!$G$6:$G$2819,$G828))</f>
        <v/>
      </c>
      <c r="G828" t="str">
        <f>IF(805&lt;=$B$4,IFERROR(MATCH(805,'EDS Lookup'!$H$6:$H$2819,0),""),"")</f>
        <v/>
      </c>
      <c r="H828" t="str">
        <f t="shared" si="12"/>
        <v/>
      </c>
    </row>
    <row r="829" spans="1:8" ht="19.95" customHeight="1">
      <c r="A829" s="5" t="str">
        <f>IF($G829="","",INDEX('EDS Lookup'!$D$6:$D$2819,$G829))</f>
        <v/>
      </c>
      <c r="B829" s="5" t="str">
        <f>IF($G829="","",INDEX('EDS Lookup'!$B$6:$B$2819,$G829))</f>
        <v/>
      </c>
      <c r="C829" s="17"/>
      <c r="D829" s="6"/>
      <c r="E829" s="7" t="str">
        <f>IF($G829="","",INDEX('EDS Lookup'!$F$6:$F$2819,$G829))</f>
        <v/>
      </c>
      <c r="F829" s="8" t="str">
        <f>IF($G829="","",INDEX('EDS Lookup'!$G$6:$G$2819,$G829))</f>
        <v/>
      </c>
      <c r="G829" t="str">
        <f>IF(806&lt;=$B$4,IFERROR(MATCH(806,'EDS Lookup'!$H$6:$H$2819,0),""),"")</f>
        <v/>
      </c>
      <c r="H829" t="str">
        <f t="shared" si="12"/>
        <v/>
      </c>
    </row>
    <row r="830" spans="1:8" ht="19.95" customHeight="1">
      <c r="A830" s="5" t="str">
        <f>IF($G830="","",INDEX('EDS Lookup'!$D$6:$D$2819,$G830))</f>
        <v/>
      </c>
      <c r="B830" s="5" t="str">
        <f>IF($G830="","",INDEX('EDS Lookup'!$B$6:$B$2819,$G830))</f>
        <v/>
      </c>
      <c r="C830" s="17"/>
      <c r="D830" s="6"/>
      <c r="E830" s="7" t="str">
        <f>IF($G830="","",INDEX('EDS Lookup'!$F$6:$F$2819,$G830))</f>
        <v/>
      </c>
      <c r="F830" s="8" t="str">
        <f>IF($G830="","",INDEX('EDS Lookup'!$G$6:$G$2819,$G830))</f>
        <v/>
      </c>
      <c r="G830" t="str">
        <f>IF(807&lt;=$B$4,IFERROR(MATCH(807,'EDS Lookup'!$H$6:$H$2819,0),""),"")</f>
        <v/>
      </c>
      <c r="H830" t="str">
        <f t="shared" si="12"/>
        <v/>
      </c>
    </row>
    <row r="831" spans="1:8" ht="19.95" customHeight="1">
      <c r="A831" s="5" t="str">
        <f>IF($G831="","",INDEX('EDS Lookup'!$D$6:$D$2819,$G831))</f>
        <v/>
      </c>
      <c r="B831" s="5" t="str">
        <f>IF($G831="","",INDEX('EDS Lookup'!$B$6:$B$2819,$G831))</f>
        <v/>
      </c>
      <c r="C831" s="17"/>
      <c r="D831" s="6"/>
      <c r="E831" s="7" t="str">
        <f>IF($G831="","",INDEX('EDS Lookup'!$F$6:$F$2819,$G831))</f>
        <v/>
      </c>
      <c r="F831" s="8" t="str">
        <f>IF($G831="","",INDEX('EDS Lookup'!$G$6:$G$2819,$G831))</f>
        <v/>
      </c>
      <c r="G831" t="str">
        <f>IF(808&lt;=$B$4,IFERROR(MATCH(808,'EDS Lookup'!$H$6:$H$2819,0),""),"")</f>
        <v/>
      </c>
      <c r="H831" t="str">
        <f t="shared" si="12"/>
        <v/>
      </c>
    </row>
    <row r="832" spans="1:8" ht="19.95" customHeight="1">
      <c r="A832" s="5" t="str">
        <f>IF($G832="","",INDEX('EDS Lookup'!$D$6:$D$2819,$G832))</f>
        <v/>
      </c>
      <c r="B832" s="5" t="str">
        <f>IF($G832="","",INDEX('EDS Lookup'!$B$6:$B$2819,$G832))</f>
        <v/>
      </c>
      <c r="C832" s="17"/>
      <c r="D832" s="6"/>
      <c r="E832" s="7" t="str">
        <f>IF($G832="","",INDEX('EDS Lookup'!$F$6:$F$2819,$G832))</f>
        <v/>
      </c>
      <c r="F832" s="8" t="str">
        <f>IF($G832="","",INDEX('EDS Lookup'!$G$6:$G$2819,$G832))</f>
        <v/>
      </c>
      <c r="G832" t="str">
        <f>IF(809&lt;=$B$4,IFERROR(MATCH(809,'EDS Lookup'!$H$6:$H$2819,0),""),"")</f>
        <v/>
      </c>
      <c r="H832" t="str">
        <f t="shared" si="12"/>
        <v/>
      </c>
    </row>
    <row r="833" spans="1:8" ht="19.95" customHeight="1">
      <c r="A833" s="5" t="str">
        <f>IF($G833="","",INDEX('EDS Lookup'!$D$6:$D$2819,$G833))</f>
        <v/>
      </c>
      <c r="B833" s="5" t="str">
        <f>IF($G833="","",INDEX('EDS Lookup'!$B$6:$B$2819,$G833))</f>
        <v/>
      </c>
      <c r="C833" s="17"/>
      <c r="D833" s="6"/>
      <c r="E833" s="7" t="str">
        <f>IF($G833="","",INDEX('EDS Lookup'!$F$6:$F$2819,$G833))</f>
        <v/>
      </c>
      <c r="F833" s="8" t="str">
        <f>IF($G833="","",INDEX('EDS Lookup'!$G$6:$G$2819,$G833))</f>
        <v/>
      </c>
      <c r="G833" t="str">
        <f>IF(810&lt;=$B$4,IFERROR(MATCH(810,'EDS Lookup'!$H$6:$H$2819,0),""),"")</f>
        <v/>
      </c>
      <c r="H833" t="str">
        <f t="shared" si="12"/>
        <v/>
      </c>
    </row>
    <row r="834" spans="1:8" ht="19.95" customHeight="1">
      <c r="A834" s="5" t="str">
        <f>IF($G834="","",INDEX('EDS Lookup'!$D$6:$D$2819,$G834))</f>
        <v/>
      </c>
      <c r="B834" s="5" t="str">
        <f>IF($G834="","",INDEX('EDS Lookup'!$B$6:$B$2819,$G834))</f>
        <v/>
      </c>
      <c r="C834" s="17"/>
      <c r="D834" s="6"/>
      <c r="E834" s="7" t="str">
        <f>IF($G834="","",INDEX('EDS Lookup'!$F$6:$F$2819,$G834))</f>
        <v/>
      </c>
      <c r="F834" s="8" t="str">
        <f>IF($G834="","",INDEX('EDS Lookup'!$G$6:$G$2819,$G834))</f>
        <v/>
      </c>
      <c r="G834" t="str">
        <f>IF(811&lt;=$B$4,IFERROR(MATCH(811,'EDS Lookup'!$H$6:$H$2819,0),""),"")</f>
        <v/>
      </c>
      <c r="H834" t="str">
        <f t="shared" si="12"/>
        <v/>
      </c>
    </row>
    <row r="835" spans="1:8" ht="19.95" customHeight="1">
      <c r="A835" s="5" t="str">
        <f>IF($G835="","",INDEX('EDS Lookup'!$D$6:$D$2819,$G835))</f>
        <v/>
      </c>
      <c r="B835" s="5" t="str">
        <f>IF($G835="","",INDEX('EDS Lookup'!$B$6:$B$2819,$G835))</f>
        <v/>
      </c>
      <c r="C835" s="17"/>
      <c r="D835" s="6"/>
      <c r="E835" s="7" t="str">
        <f>IF($G835="","",INDEX('EDS Lookup'!$F$6:$F$2819,$G835))</f>
        <v/>
      </c>
      <c r="F835" s="8" t="str">
        <f>IF($G835="","",INDEX('EDS Lookup'!$G$6:$G$2819,$G835))</f>
        <v/>
      </c>
      <c r="G835" t="str">
        <f>IF(812&lt;=$B$4,IFERROR(MATCH(812,'EDS Lookup'!$H$6:$H$2819,0),""),"")</f>
        <v/>
      </c>
      <c r="H835" t="str">
        <f t="shared" si="12"/>
        <v/>
      </c>
    </row>
    <row r="836" spans="1:8" ht="19.95" customHeight="1">
      <c r="A836" s="5" t="str">
        <f>IF($G836="","",INDEX('EDS Lookup'!$D$6:$D$2819,$G836))</f>
        <v/>
      </c>
      <c r="B836" s="5" t="str">
        <f>IF($G836="","",INDEX('EDS Lookup'!$B$6:$B$2819,$G836))</f>
        <v/>
      </c>
      <c r="C836" s="17"/>
      <c r="D836" s="6"/>
      <c r="E836" s="7" t="str">
        <f>IF($G836="","",INDEX('EDS Lookup'!$F$6:$F$2819,$G836))</f>
        <v/>
      </c>
      <c r="F836" s="8" t="str">
        <f>IF($G836="","",INDEX('EDS Lookup'!$G$6:$G$2819,$G836))</f>
        <v/>
      </c>
      <c r="G836" t="str">
        <f>IF(813&lt;=$B$4,IFERROR(MATCH(813,'EDS Lookup'!$H$6:$H$2819,0),""),"")</f>
        <v/>
      </c>
      <c r="H836" t="str">
        <f t="shared" si="12"/>
        <v/>
      </c>
    </row>
    <row r="837" spans="1:8" ht="19.95" customHeight="1">
      <c r="A837" s="5" t="str">
        <f>IF($G837="","",INDEX('EDS Lookup'!$D$6:$D$2819,$G837))</f>
        <v/>
      </c>
      <c r="B837" s="5" t="str">
        <f>IF($G837="","",INDEX('EDS Lookup'!$B$6:$B$2819,$G837))</f>
        <v/>
      </c>
      <c r="C837" s="17"/>
      <c r="D837" s="6"/>
      <c r="E837" s="7" t="str">
        <f>IF($G837="","",INDEX('EDS Lookup'!$F$6:$F$2819,$G837))</f>
        <v/>
      </c>
      <c r="F837" s="8" t="str">
        <f>IF($G837="","",INDEX('EDS Lookup'!$G$6:$G$2819,$G837))</f>
        <v/>
      </c>
      <c r="G837" t="str">
        <f>IF(814&lt;=$B$4,IFERROR(MATCH(814,'EDS Lookup'!$H$6:$H$2819,0),""),"")</f>
        <v/>
      </c>
      <c r="H837" t="str">
        <f t="shared" si="12"/>
        <v/>
      </c>
    </row>
    <row r="838" spans="1:8" ht="19.95" customHeight="1">
      <c r="A838" s="5" t="str">
        <f>IF($G838="","",INDEX('EDS Lookup'!$D$6:$D$2819,$G838))</f>
        <v/>
      </c>
      <c r="B838" s="5" t="str">
        <f>IF($G838="","",INDEX('EDS Lookup'!$B$6:$B$2819,$G838))</f>
        <v/>
      </c>
      <c r="C838" s="17"/>
      <c r="D838" s="6"/>
      <c r="E838" s="7" t="str">
        <f>IF($G838="","",INDEX('EDS Lookup'!$F$6:$F$2819,$G838))</f>
        <v/>
      </c>
      <c r="F838" s="8" t="str">
        <f>IF($G838="","",INDEX('EDS Lookup'!$G$6:$G$2819,$G838))</f>
        <v/>
      </c>
      <c r="G838" t="str">
        <f>IF(815&lt;=$B$4,IFERROR(MATCH(815,'EDS Lookup'!$H$6:$H$2819,0),""),"")</f>
        <v/>
      </c>
      <c r="H838" t="str">
        <f t="shared" si="12"/>
        <v/>
      </c>
    </row>
    <row r="839" spans="1:8" ht="19.95" customHeight="1">
      <c r="A839" s="5" t="str">
        <f>IF($G839="","",INDEX('EDS Lookup'!$D$6:$D$2819,$G839))</f>
        <v/>
      </c>
      <c r="B839" s="5" t="str">
        <f>IF($G839="","",INDEX('EDS Lookup'!$B$6:$B$2819,$G839))</f>
        <v/>
      </c>
      <c r="C839" s="17"/>
      <c r="D839" s="6"/>
      <c r="E839" s="7" t="str">
        <f>IF($G839="","",INDEX('EDS Lookup'!$F$6:$F$2819,$G839))</f>
        <v/>
      </c>
      <c r="F839" s="8" t="str">
        <f>IF($G839="","",INDEX('EDS Lookup'!$G$6:$G$2819,$G839))</f>
        <v/>
      </c>
      <c r="G839" t="str">
        <f>IF(816&lt;=$B$4,IFERROR(MATCH(816,'EDS Lookup'!$H$6:$H$2819,0),""),"")</f>
        <v/>
      </c>
      <c r="H839" t="str">
        <f t="shared" si="12"/>
        <v/>
      </c>
    </row>
    <row r="840" spans="1:8" ht="19.95" customHeight="1">
      <c r="A840" s="5" t="str">
        <f>IF($G840="","",INDEX('EDS Lookup'!$D$6:$D$2819,$G840))</f>
        <v/>
      </c>
      <c r="B840" s="5" t="str">
        <f>IF($G840="","",INDEX('EDS Lookup'!$B$6:$B$2819,$G840))</f>
        <v/>
      </c>
      <c r="C840" s="17"/>
      <c r="D840" s="6"/>
      <c r="E840" s="7" t="str">
        <f>IF($G840="","",INDEX('EDS Lookup'!$F$6:$F$2819,$G840))</f>
        <v/>
      </c>
      <c r="F840" s="8" t="str">
        <f>IF($G840="","",INDEX('EDS Lookup'!$G$6:$G$2819,$G840))</f>
        <v/>
      </c>
      <c r="G840" t="str">
        <f>IF(817&lt;=$B$4,IFERROR(MATCH(817,'EDS Lookup'!$H$6:$H$2819,0),""),"")</f>
        <v/>
      </c>
      <c r="H840" t="str">
        <f t="shared" si="12"/>
        <v/>
      </c>
    </row>
    <row r="841" spans="1:8" ht="19.95" customHeight="1">
      <c r="A841" s="5" t="str">
        <f>IF($G841="","",INDEX('EDS Lookup'!$D$6:$D$2819,$G841))</f>
        <v/>
      </c>
      <c r="B841" s="5" t="str">
        <f>IF($G841="","",INDEX('EDS Lookup'!$B$6:$B$2819,$G841))</f>
        <v/>
      </c>
      <c r="C841" s="17"/>
      <c r="D841" s="6"/>
      <c r="E841" s="7" t="str">
        <f>IF($G841="","",INDEX('EDS Lookup'!$F$6:$F$2819,$G841))</f>
        <v/>
      </c>
      <c r="F841" s="8" t="str">
        <f>IF($G841="","",INDEX('EDS Lookup'!$G$6:$G$2819,$G841))</f>
        <v/>
      </c>
      <c r="G841" t="str">
        <f>IF(818&lt;=$B$4,IFERROR(MATCH(818,'EDS Lookup'!$H$6:$H$2819,0),""),"")</f>
        <v/>
      </c>
      <c r="H841" t="str">
        <f t="shared" si="12"/>
        <v/>
      </c>
    </row>
    <row r="842" spans="1:8" ht="19.95" customHeight="1">
      <c r="A842" s="5" t="str">
        <f>IF($G842="","",INDEX('EDS Lookup'!$D$6:$D$2819,$G842))</f>
        <v/>
      </c>
      <c r="B842" s="5" t="str">
        <f>IF($G842="","",INDEX('EDS Lookup'!$B$6:$B$2819,$G842))</f>
        <v/>
      </c>
      <c r="C842" s="17"/>
      <c r="D842" s="6"/>
      <c r="E842" s="7" t="str">
        <f>IF($G842="","",INDEX('EDS Lookup'!$F$6:$F$2819,$G842))</f>
        <v/>
      </c>
      <c r="F842" s="8" t="str">
        <f>IF($G842="","",INDEX('EDS Lookup'!$G$6:$G$2819,$G842))</f>
        <v/>
      </c>
      <c r="G842" t="str">
        <f>IF(819&lt;=$B$4,IFERROR(MATCH(819,'EDS Lookup'!$H$6:$H$2819,0),""),"")</f>
        <v/>
      </c>
      <c r="H842" t="str">
        <f t="shared" si="12"/>
        <v/>
      </c>
    </row>
    <row r="843" spans="1:8" ht="19.95" customHeight="1">
      <c r="A843" s="5" t="str">
        <f>IF($G843="","",INDEX('EDS Lookup'!$D$6:$D$2819,$G843))</f>
        <v/>
      </c>
      <c r="B843" s="5" t="str">
        <f>IF($G843="","",INDEX('EDS Lookup'!$B$6:$B$2819,$G843))</f>
        <v/>
      </c>
      <c r="C843" s="17"/>
      <c r="D843" s="6"/>
      <c r="E843" s="7" t="str">
        <f>IF($G843="","",INDEX('EDS Lookup'!$F$6:$F$2819,$G843))</f>
        <v/>
      </c>
      <c r="F843" s="8" t="str">
        <f>IF($G843="","",INDEX('EDS Lookup'!$G$6:$G$2819,$G843))</f>
        <v/>
      </c>
      <c r="G843" t="str">
        <f>IF(820&lt;=$B$4,IFERROR(MATCH(820,'EDS Lookup'!$H$6:$H$2819,0),""),"")</f>
        <v/>
      </c>
      <c r="H843" t="str">
        <f t="shared" si="12"/>
        <v/>
      </c>
    </row>
    <row r="844" spans="1:8" ht="19.95" customHeight="1">
      <c r="A844" s="5" t="str">
        <f>IF($G844="","",INDEX('EDS Lookup'!$D$6:$D$2819,$G844))</f>
        <v/>
      </c>
      <c r="B844" s="5" t="str">
        <f>IF($G844="","",INDEX('EDS Lookup'!$B$6:$B$2819,$G844))</f>
        <v/>
      </c>
      <c r="C844" s="17"/>
      <c r="D844" s="6"/>
      <c r="E844" s="7" t="str">
        <f>IF($G844="","",INDEX('EDS Lookup'!$F$6:$F$2819,$G844))</f>
        <v/>
      </c>
      <c r="F844" s="8" t="str">
        <f>IF($G844="","",INDEX('EDS Lookup'!$G$6:$G$2819,$G844))</f>
        <v/>
      </c>
      <c r="G844" t="str">
        <f>IF(821&lt;=$B$4,IFERROR(MATCH(821,'EDS Lookup'!$H$6:$H$2819,0),""),"")</f>
        <v/>
      </c>
      <c r="H844" t="str">
        <f t="shared" si="12"/>
        <v/>
      </c>
    </row>
    <row r="845" spans="1:8" ht="19.95" customHeight="1">
      <c r="A845" s="5" t="str">
        <f>IF($G845="","",INDEX('EDS Lookup'!$D$6:$D$2819,$G845))</f>
        <v/>
      </c>
      <c r="B845" s="5" t="str">
        <f>IF($G845="","",INDEX('EDS Lookup'!$B$6:$B$2819,$G845))</f>
        <v/>
      </c>
      <c r="C845" s="17"/>
      <c r="D845" s="6"/>
      <c r="E845" s="7" t="str">
        <f>IF($G845="","",INDEX('EDS Lookup'!$F$6:$F$2819,$G845))</f>
        <v/>
      </c>
      <c r="F845" s="8" t="str">
        <f>IF($G845="","",INDEX('EDS Lookup'!$G$6:$G$2819,$G845))</f>
        <v/>
      </c>
      <c r="G845" t="str">
        <f>IF(822&lt;=$B$4,IFERROR(MATCH(822,'EDS Lookup'!$H$6:$H$2819,0),""),"")</f>
        <v/>
      </c>
      <c r="H845" t="str">
        <f t="shared" si="12"/>
        <v/>
      </c>
    </row>
    <row r="846" spans="1:8" ht="19.95" customHeight="1">
      <c r="A846" s="5" t="str">
        <f>IF($G846="","",INDEX('EDS Lookup'!$D$6:$D$2819,$G846))</f>
        <v/>
      </c>
      <c r="B846" s="5" t="str">
        <f>IF($G846="","",INDEX('EDS Lookup'!$B$6:$B$2819,$G846))</f>
        <v/>
      </c>
      <c r="C846" s="17"/>
      <c r="D846" s="6"/>
      <c r="E846" s="7" t="str">
        <f>IF($G846="","",INDEX('EDS Lookup'!$F$6:$F$2819,$G846))</f>
        <v/>
      </c>
      <c r="F846" s="8" t="str">
        <f>IF($G846="","",INDEX('EDS Lookup'!$G$6:$G$2819,$G846))</f>
        <v/>
      </c>
      <c r="G846" t="str">
        <f>IF(823&lt;=$B$4,IFERROR(MATCH(823,'EDS Lookup'!$H$6:$H$2819,0),""),"")</f>
        <v/>
      </c>
      <c r="H846" t="str">
        <f t="shared" si="12"/>
        <v/>
      </c>
    </row>
    <row r="847" spans="1:8" ht="19.95" customHeight="1">
      <c r="A847" s="5" t="str">
        <f>IF($G847="","",INDEX('EDS Lookup'!$D$6:$D$2819,$G847))</f>
        <v/>
      </c>
      <c r="B847" s="5" t="str">
        <f>IF($G847="","",INDEX('EDS Lookup'!$B$6:$B$2819,$G847))</f>
        <v/>
      </c>
      <c r="C847" s="17"/>
      <c r="D847" s="6"/>
      <c r="E847" s="7" t="str">
        <f>IF($G847="","",INDEX('EDS Lookup'!$F$6:$F$2819,$G847))</f>
        <v/>
      </c>
      <c r="F847" s="8" t="str">
        <f>IF($G847="","",INDEX('EDS Lookup'!$G$6:$G$2819,$G847))</f>
        <v/>
      </c>
      <c r="G847" t="str">
        <f>IF(824&lt;=$B$4,IFERROR(MATCH(824,'EDS Lookup'!$H$6:$H$2819,0),""),"")</f>
        <v/>
      </c>
      <c r="H847" t="str">
        <f t="shared" si="12"/>
        <v/>
      </c>
    </row>
    <row r="848" spans="1:8" ht="19.95" customHeight="1">
      <c r="A848" s="5" t="str">
        <f>IF($G848="","",INDEX('EDS Lookup'!$D$6:$D$2819,$G848))</f>
        <v/>
      </c>
      <c r="B848" s="5" t="str">
        <f>IF($G848="","",INDEX('EDS Lookup'!$B$6:$B$2819,$G848))</f>
        <v/>
      </c>
      <c r="C848" s="17"/>
      <c r="D848" s="6"/>
      <c r="E848" s="7" t="str">
        <f>IF($G848="","",INDEX('EDS Lookup'!$F$6:$F$2819,$G848))</f>
        <v/>
      </c>
      <c r="F848" s="8" t="str">
        <f>IF($G848="","",INDEX('EDS Lookup'!$G$6:$G$2819,$G848))</f>
        <v/>
      </c>
      <c r="G848" t="str">
        <f>IF(825&lt;=$B$4,IFERROR(MATCH(825,'EDS Lookup'!$H$6:$H$2819,0),""),"")</f>
        <v/>
      </c>
      <c r="H848" t="str">
        <f t="shared" si="12"/>
        <v/>
      </c>
    </row>
    <row r="849" spans="1:8" ht="19.95" customHeight="1">
      <c r="A849" s="5" t="str">
        <f>IF($G849="","",INDEX('EDS Lookup'!$D$6:$D$2819,$G849))</f>
        <v/>
      </c>
      <c r="B849" s="5" t="str">
        <f>IF($G849="","",INDEX('EDS Lookup'!$B$6:$B$2819,$G849))</f>
        <v/>
      </c>
      <c r="C849" s="17"/>
      <c r="D849" s="6"/>
      <c r="E849" s="7" t="str">
        <f>IF($G849="","",INDEX('EDS Lookup'!$F$6:$F$2819,$G849))</f>
        <v/>
      </c>
      <c r="F849" s="8" t="str">
        <f>IF($G849="","",INDEX('EDS Lookup'!$G$6:$G$2819,$G849))</f>
        <v/>
      </c>
      <c r="G849" t="str">
        <f>IF(826&lt;=$B$4,IFERROR(MATCH(826,'EDS Lookup'!$H$6:$H$2819,0),""),"")</f>
        <v/>
      </c>
      <c r="H849" t="str">
        <f t="shared" si="12"/>
        <v/>
      </c>
    </row>
    <row r="850" spans="1:8" ht="19.95" customHeight="1">
      <c r="A850" s="5" t="str">
        <f>IF($G850="","",INDEX('EDS Lookup'!$D$6:$D$2819,$G850))</f>
        <v/>
      </c>
      <c r="B850" s="5" t="str">
        <f>IF($G850="","",INDEX('EDS Lookup'!$B$6:$B$2819,$G850))</f>
        <v/>
      </c>
      <c r="C850" s="17"/>
      <c r="D850" s="6"/>
      <c r="E850" s="7" t="str">
        <f>IF($G850="","",INDEX('EDS Lookup'!$F$6:$F$2819,$G850))</f>
        <v/>
      </c>
      <c r="F850" s="8" t="str">
        <f>IF($G850="","",INDEX('EDS Lookup'!$G$6:$G$2819,$G850))</f>
        <v/>
      </c>
      <c r="G850" t="str">
        <f>IF(827&lt;=$B$4,IFERROR(MATCH(827,'EDS Lookup'!$H$6:$H$2819,0),""),"")</f>
        <v/>
      </c>
      <c r="H850" t="str">
        <f t="shared" si="12"/>
        <v/>
      </c>
    </row>
    <row r="851" spans="1:8" ht="19.95" customHeight="1">
      <c r="A851" s="5" t="str">
        <f>IF($G851="","",INDEX('EDS Lookup'!$D$6:$D$2819,$G851))</f>
        <v/>
      </c>
      <c r="B851" s="5" t="str">
        <f>IF($G851="","",INDEX('EDS Lookup'!$B$6:$B$2819,$G851))</f>
        <v/>
      </c>
      <c r="C851" s="17"/>
      <c r="D851" s="6"/>
      <c r="E851" s="7" t="str">
        <f>IF($G851="","",INDEX('EDS Lookup'!$F$6:$F$2819,$G851))</f>
        <v/>
      </c>
      <c r="F851" s="8" t="str">
        <f>IF($G851="","",INDEX('EDS Lookup'!$G$6:$G$2819,$G851))</f>
        <v/>
      </c>
      <c r="G851" t="str">
        <f>IF(828&lt;=$B$4,IFERROR(MATCH(828,'EDS Lookup'!$H$6:$H$2819,0),""),"")</f>
        <v/>
      </c>
      <c r="H851" t="str">
        <f t="shared" si="12"/>
        <v/>
      </c>
    </row>
    <row r="852" spans="1:8" ht="19.95" customHeight="1">
      <c r="A852" s="5" t="str">
        <f>IF($G852="","",INDEX('EDS Lookup'!$D$6:$D$2819,$G852))</f>
        <v/>
      </c>
      <c r="B852" s="5" t="str">
        <f>IF($G852="","",INDEX('EDS Lookup'!$B$6:$B$2819,$G852))</f>
        <v/>
      </c>
      <c r="C852" s="17"/>
      <c r="D852" s="6"/>
      <c r="E852" s="7" t="str">
        <f>IF($G852="","",INDEX('EDS Lookup'!$F$6:$F$2819,$G852))</f>
        <v/>
      </c>
      <c r="F852" s="8" t="str">
        <f>IF($G852="","",INDEX('EDS Lookup'!$G$6:$G$2819,$G852))</f>
        <v/>
      </c>
      <c r="G852" t="str">
        <f>IF(829&lt;=$B$4,IFERROR(MATCH(829,'EDS Lookup'!$H$6:$H$2819,0),""),"")</f>
        <v/>
      </c>
      <c r="H852" t="str">
        <f t="shared" si="12"/>
        <v/>
      </c>
    </row>
    <row r="853" spans="1:8" ht="19.95" customHeight="1">
      <c r="A853" s="5" t="str">
        <f>IF($G853="","",INDEX('EDS Lookup'!$D$6:$D$2819,$G853))</f>
        <v/>
      </c>
      <c r="B853" s="5" t="str">
        <f>IF($G853="","",INDEX('EDS Lookup'!$B$6:$B$2819,$G853))</f>
        <v/>
      </c>
      <c r="C853" s="17"/>
      <c r="D853" s="6"/>
      <c r="E853" s="7" t="str">
        <f>IF($G853="","",INDEX('EDS Lookup'!$F$6:$F$2819,$G853))</f>
        <v/>
      </c>
      <c r="F853" s="8" t="str">
        <f>IF($G853="","",INDEX('EDS Lookup'!$G$6:$G$2819,$G853))</f>
        <v/>
      </c>
      <c r="G853" t="str">
        <f>IF(830&lt;=$B$4,IFERROR(MATCH(830,'EDS Lookup'!$H$6:$H$2819,0),""),"")</f>
        <v/>
      </c>
      <c r="H853" t="str">
        <f t="shared" si="12"/>
        <v/>
      </c>
    </row>
    <row r="854" spans="1:8" ht="19.95" customHeight="1">
      <c r="A854" s="5" t="str">
        <f>IF($G854="","",INDEX('EDS Lookup'!$D$6:$D$2819,$G854))</f>
        <v/>
      </c>
      <c r="B854" s="5" t="str">
        <f>IF($G854="","",INDEX('EDS Lookup'!$B$6:$B$2819,$G854))</f>
        <v/>
      </c>
      <c r="C854" s="17"/>
      <c r="D854" s="6"/>
      <c r="E854" s="7" t="str">
        <f>IF($G854="","",INDEX('EDS Lookup'!$F$6:$F$2819,$G854))</f>
        <v/>
      </c>
      <c r="F854" s="8" t="str">
        <f>IF($G854="","",INDEX('EDS Lookup'!$G$6:$G$2819,$G854))</f>
        <v/>
      </c>
      <c r="G854" t="str">
        <f>IF(831&lt;=$B$4,IFERROR(MATCH(831,'EDS Lookup'!$H$6:$H$2819,0),""),"")</f>
        <v/>
      </c>
      <c r="H854" t="str">
        <f t="shared" si="12"/>
        <v/>
      </c>
    </row>
    <row r="855" spans="1:8" ht="19.95" customHeight="1">
      <c r="A855" s="5" t="str">
        <f>IF($G855="","",INDEX('EDS Lookup'!$D$6:$D$2819,$G855))</f>
        <v/>
      </c>
      <c r="B855" s="5" t="str">
        <f>IF($G855="","",INDEX('EDS Lookup'!$B$6:$B$2819,$G855))</f>
        <v/>
      </c>
      <c r="C855" s="17"/>
      <c r="D855" s="6"/>
      <c r="E855" s="7" t="str">
        <f>IF($G855="","",INDEX('EDS Lookup'!$F$6:$F$2819,$G855))</f>
        <v/>
      </c>
      <c r="F855" s="8" t="str">
        <f>IF($G855="","",INDEX('EDS Lookup'!$G$6:$G$2819,$G855))</f>
        <v/>
      </c>
      <c r="G855" t="str">
        <f>IF(832&lt;=$B$4,IFERROR(MATCH(832,'EDS Lookup'!$H$6:$H$2819,0),""),"")</f>
        <v/>
      </c>
      <c r="H855" t="str">
        <f t="shared" si="12"/>
        <v/>
      </c>
    </row>
    <row r="856" spans="1:8" ht="19.95" customHeight="1">
      <c r="A856" s="5" t="str">
        <f>IF($G856="","",INDEX('EDS Lookup'!$D$6:$D$2819,$G856))</f>
        <v/>
      </c>
      <c r="B856" s="5" t="str">
        <f>IF($G856="","",INDEX('EDS Lookup'!$B$6:$B$2819,$G856))</f>
        <v/>
      </c>
      <c r="C856" s="17"/>
      <c r="D856" s="6"/>
      <c r="E856" s="7" t="str">
        <f>IF($G856="","",INDEX('EDS Lookup'!$F$6:$F$2819,$G856))</f>
        <v/>
      </c>
      <c r="F856" s="8" t="str">
        <f>IF($G856="","",INDEX('EDS Lookup'!$G$6:$G$2819,$G856))</f>
        <v/>
      </c>
      <c r="G856" t="str">
        <f>IF(833&lt;=$B$4,IFERROR(MATCH(833,'EDS Lookup'!$H$6:$H$2819,0),""),"")</f>
        <v/>
      </c>
      <c r="H856" t="str">
        <f t="shared" ref="H856:H919" si="13">IF(F856="&lt;5",5,IF(F856="&gt;95",95,IF(ISNUMBER(F856),F856,"")))</f>
        <v/>
      </c>
    </row>
    <row r="857" spans="1:8" ht="19.95" customHeight="1">
      <c r="A857" s="5" t="str">
        <f>IF($G857="","",INDEX('EDS Lookup'!$D$6:$D$2819,$G857))</f>
        <v/>
      </c>
      <c r="B857" s="5" t="str">
        <f>IF($G857="","",INDEX('EDS Lookup'!$B$6:$B$2819,$G857))</f>
        <v/>
      </c>
      <c r="C857" s="17"/>
      <c r="D857" s="6"/>
      <c r="E857" s="7" t="str">
        <f>IF($G857="","",INDEX('EDS Lookup'!$F$6:$F$2819,$G857))</f>
        <v/>
      </c>
      <c r="F857" s="8" t="str">
        <f>IF($G857="","",INDEX('EDS Lookup'!$G$6:$G$2819,$G857))</f>
        <v/>
      </c>
      <c r="G857" t="str">
        <f>IF(834&lt;=$B$4,IFERROR(MATCH(834,'EDS Lookup'!$H$6:$H$2819,0),""),"")</f>
        <v/>
      </c>
      <c r="H857" t="str">
        <f t="shared" si="13"/>
        <v/>
      </c>
    </row>
    <row r="858" spans="1:8" ht="19.95" customHeight="1">
      <c r="A858" s="5" t="str">
        <f>IF($G858="","",INDEX('EDS Lookup'!$D$6:$D$2819,$G858))</f>
        <v/>
      </c>
      <c r="B858" s="5" t="str">
        <f>IF($G858="","",INDEX('EDS Lookup'!$B$6:$B$2819,$G858))</f>
        <v/>
      </c>
      <c r="C858" s="17"/>
      <c r="D858" s="6"/>
      <c r="E858" s="7" t="str">
        <f>IF($G858="","",INDEX('EDS Lookup'!$F$6:$F$2819,$G858))</f>
        <v/>
      </c>
      <c r="F858" s="8" t="str">
        <f>IF($G858="","",INDEX('EDS Lookup'!$G$6:$G$2819,$G858))</f>
        <v/>
      </c>
      <c r="G858" t="str">
        <f>IF(835&lt;=$B$4,IFERROR(MATCH(835,'EDS Lookup'!$H$6:$H$2819,0),""),"")</f>
        <v/>
      </c>
      <c r="H858" t="str">
        <f t="shared" si="13"/>
        <v/>
      </c>
    </row>
    <row r="859" spans="1:8" ht="19.95" customHeight="1">
      <c r="A859" s="5" t="str">
        <f>IF($G859="","",INDEX('EDS Lookup'!$D$6:$D$2819,$G859))</f>
        <v/>
      </c>
      <c r="B859" s="5" t="str">
        <f>IF($G859="","",INDEX('EDS Lookup'!$B$6:$B$2819,$G859))</f>
        <v/>
      </c>
      <c r="C859" s="17"/>
      <c r="D859" s="6"/>
      <c r="E859" s="7" t="str">
        <f>IF($G859="","",INDEX('EDS Lookup'!$F$6:$F$2819,$G859))</f>
        <v/>
      </c>
      <c r="F859" s="8" t="str">
        <f>IF($G859="","",INDEX('EDS Lookup'!$G$6:$G$2819,$G859))</f>
        <v/>
      </c>
      <c r="G859" t="str">
        <f>IF(836&lt;=$B$4,IFERROR(MATCH(836,'EDS Lookup'!$H$6:$H$2819,0),""),"")</f>
        <v/>
      </c>
      <c r="H859" t="str">
        <f t="shared" si="13"/>
        <v/>
      </c>
    </row>
    <row r="860" spans="1:8" ht="19.95" customHeight="1">
      <c r="A860" s="5" t="str">
        <f>IF($G860="","",INDEX('EDS Lookup'!$D$6:$D$2819,$G860))</f>
        <v/>
      </c>
      <c r="B860" s="5" t="str">
        <f>IF($G860="","",INDEX('EDS Lookup'!$B$6:$B$2819,$G860))</f>
        <v/>
      </c>
      <c r="C860" s="17"/>
      <c r="D860" s="6"/>
      <c r="E860" s="7" t="str">
        <f>IF($G860="","",INDEX('EDS Lookup'!$F$6:$F$2819,$G860))</f>
        <v/>
      </c>
      <c r="F860" s="8" t="str">
        <f>IF($G860="","",INDEX('EDS Lookup'!$G$6:$G$2819,$G860))</f>
        <v/>
      </c>
      <c r="G860" t="str">
        <f>IF(837&lt;=$B$4,IFERROR(MATCH(837,'EDS Lookup'!$H$6:$H$2819,0),""),"")</f>
        <v/>
      </c>
      <c r="H860" t="str">
        <f t="shared" si="13"/>
        <v/>
      </c>
    </row>
    <row r="861" spans="1:8" ht="19.95" customHeight="1">
      <c r="A861" s="5" t="str">
        <f>IF($G861="","",INDEX('EDS Lookup'!$D$6:$D$2819,$G861))</f>
        <v/>
      </c>
      <c r="B861" s="5" t="str">
        <f>IF($G861="","",INDEX('EDS Lookup'!$B$6:$B$2819,$G861))</f>
        <v/>
      </c>
      <c r="C861" s="17"/>
      <c r="D861" s="6"/>
      <c r="E861" s="7" t="str">
        <f>IF($G861="","",INDEX('EDS Lookup'!$F$6:$F$2819,$G861))</f>
        <v/>
      </c>
      <c r="F861" s="8" t="str">
        <f>IF($G861="","",INDEX('EDS Lookup'!$G$6:$G$2819,$G861))</f>
        <v/>
      </c>
      <c r="G861" t="str">
        <f>IF(838&lt;=$B$4,IFERROR(MATCH(838,'EDS Lookup'!$H$6:$H$2819,0),""),"")</f>
        <v/>
      </c>
      <c r="H861" t="str">
        <f t="shared" si="13"/>
        <v/>
      </c>
    </row>
    <row r="862" spans="1:8" ht="19.95" customHeight="1">
      <c r="A862" s="5" t="str">
        <f>IF($G862="","",INDEX('EDS Lookup'!$D$6:$D$2819,$G862))</f>
        <v/>
      </c>
      <c r="B862" s="5" t="str">
        <f>IF($G862="","",INDEX('EDS Lookup'!$B$6:$B$2819,$G862))</f>
        <v/>
      </c>
      <c r="C862" s="17"/>
      <c r="D862" s="6"/>
      <c r="E862" s="7" t="str">
        <f>IF($G862="","",INDEX('EDS Lookup'!$F$6:$F$2819,$G862))</f>
        <v/>
      </c>
      <c r="F862" s="8" t="str">
        <f>IF($G862="","",INDEX('EDS Lookup'!$G$6:$G$2819,$G862))</f>
        <v/>
      </c>
      <c r="G862" t="str">
        <f>IF(839&lt;=$B$4,IFERROR(MATCH(839,'EDS Lookup'!$H$6:$H$2819,0),""),"")</f>
        <v/>
      </c>
      <c r="H862" t="str">
        <f t="shared" si="13"/>
        <v/>
      </c>
    </row>
    <row r="863" spans="1:8" ht="19.95" customHeight="1">
      <c r="A863" s="5" t="str">
        <f>IF($G863="","",INDEX('EDS Lookup'!$D$6:$D$2819,$G863))</f>
        <v/>
      </c>
      <c r="B863" s="5" t="str">
        <f>IF($G863="","",INDEX('EDS Lookup'!$B$6:$B$2819,$G863))</f>
        <v/>
      </c>
      <c r="C863" s="17"/>
      <c r="D863" s="6"/>
      <c r="E863" s="7" t="str">
        <f>IF($G863="","",INDEX('EDS Lookup'!$F$6:$F$2819,$G863))</f>
        <v/>
      </c>
      <c r="F863" s="8" t="str">
        <f>IF($G863="","",INDEX('EDS Lookup'!$G$6:$G$2819,$G863))</f>
        <v/>
      </c>
      <c r="G863" t="str">
        <f>IF(840&lt;=$B$4,IFERROR(MATCH(840,'EDS Lookup'!$H$6:$H$2819,0),""),"")</f>
        <v/>
      </c>
      <c r="H863" t="str">
        <f t="shared" si="13"/>
        <v/>
      </c>
    </row>
    <row r="864" spans="1:8" ht="19.95" customHeight="1">
      <c r="A864" s="5" t="str">
        <f>IF($G864="","",INDEX('EDS Lookup'!$D$6:$D$2819,$G864))</f>
        <v/>
      </c>
      <c r="B864" s="5" t="str">
        <f>IF($G864="","",INDEX('EDS Lookup'!$B$6:$B$2819,$G864))</f>
        <v/>
      </c>
      <c r="C864" s="17"/>
      <c r="D864" s="6"/>
      <c r="E864" s="7" t="str">
        <f>IF($G864="","",INDEX('EDS Lookup'!$F$6:$F$2819,$G864))</f>
        <v/>
      </c>
      <c r="F864" s="8" t="str">
        <f>IF($G864="","",INDEX('EDS Lookup'!$G$6:$G$2819,$G864))</f>
        <v/>
      </c>
      <c r="G864" t="str">
        <f>IF(841&lt;=$B$4,IFERROR(MATCH(841,'EDS Lookup'!$H$6:$H$2819,0),""),"")</f>
        <v/>
      </c>
      <c r="H864" t="str">
        <f t="shared" si="13"/>
        <v/>
      </c>
    </row>
    <row r="865" spans="1:8" ht="19.95" customHeight="1">
      <c r="A865" s="5" t="str">
        <f>IF($G865="","",INDEX('EDS Lookup'!$D$6:$D$2819,$G865))</f>
        <v/>
      </c>
      <c r="B865" s="5" t="str">
        <f>IF($G865="","",INDEX('EDS Lookup'!$B$6:$B$2819,$G865))</f>
        <v/>
      </c>
      <c r="C865" s="17"/>
      <c r="D865" s="6"/>
      <c r="E865" s="7" t="str">
        <f>IF($G865="","",INDEX('EDS Lookup'!$F$6:$F$2819,$G865))</f>
        <v/>
      </c>
      <c r="F865" s="8" t="str">
        <f>IF($G865="","",INDEX('EDS Lookup'!$G$6:$G$2819,$G865))</f>
        <v/>
      </c>
      <c r="G865" t="str">
        <f>IF(842&lt;=$B$4,IFERROR(MATCH(842,'EDS Lookup'!$H$6:$H$2819,0),""),"")</f>
        <v/>
      </c>
      <c r="H865" t="str">
        <f t="shared" si="13"/>
        <v/>
      </c>
    </row>
    <row r="866" spans="1:8" ht="19.95" customHeight="1">
      <c r="A866" s="5" t="str">
        <f>IF($G866="","",INDEX('EDS Lookup'!$D$6:$D$2819,$G866))</f>
        <v/>
      </c>
      <c r="B866" s="5" t="str">
        <f>IF($G866="","",INDEX('EDS Lookup'!$B$6:$B$2819,$G866))</f>
        <v/>
      </c>
      <c r="C866" s="17"/>
      <c r="D866" s="6"/>
      <c r="E866" s="7" t="str">
        <f>IF($G866="","",INDEX('EDS Lookup'!$F$6:$F$2819,$G866))</f>
        <v/>
      </c>
      <c r="F866" s="8" t="str">
        <f>IF($G866="","",INDEX('EDS Lookup'!$G$6:$G$2819,$G866))</f>
        <v/>
      </c>
      <c r="G866" t="str">
        <f>IF(843&lt;=$B$4,IFERROR(MATCH(843,'EDS Lookup'!$H$6:$H$2819,0),""),"")</f>
        <v/>
      </c>
      <c r="H866" t="str">
        <f t="shared" si="13"/>
        <v/>
      </c>
    </row>
    <row r="867" spans="1:8" ht="19.95" customHeight="1">
      <c r="A867" s="5" t="str">
        <f>IF($G867="","",INDEX('EDS Lookup'!$D$6:$D$2819,$G867))</f>
        <v/>
      </c>
      <c r="B867" s="5" t="str">
        <f>IF($G867="","",INDEX('EDS Lookup'!$B$6:$B$2819,$G867))</f>
        <v/>
      </c>
      <c r="C867" s="17"/>
      <c r="D867" s="6"/>
      <c r="E867" s="7" t="str">
        <f>IF($G867="","",INDEX('EDS Lookup'!$F$6:$F$2819,$G867))</f>
        <v/>
      </c>
      <c r="F867" s="8" t="str">
        <f>IF($G867="","",INDEX('EDS Lookup'!$G$6:$G$2819,$G867))</f>
        <v/>
      </c>
      <c r="G867" t="str">
        <f>IF(844&lt;=$B$4,IFERROR(MATCH(844,'EDS Lookup'!$H$6:$H$2819,0),""),"")</f>
        <v/>
      </c>
      <c r="H867" t="str">
        <f t="shared" si="13"/>
        <v/>
      </c>
    </row>
    <row r="868" spans="1:8" ht="19.95" customHeight="1">
      <c r="A868" s="5" t="str">
        <f>IF($G868="","",INDEX('EDS Lookup'!$D$6:$D$2819,$G868))</f>
        <v/>
      </c>
      <c r="B868" s="5" t="str">
        <f>IF($G868="","",INDEX('EDS Lookup'!$B$6:$B$2819,$G868))</f>
        <v/>
      </c>
      <c r="C868" s="17"/>
      <c r="D868" s="6"/>
      <c r="E868" s="7" t="str">
        <f>IF($G868="","",INDEX('EDS Lookup'!$F$6:$F$2819,$G868))</f>
        <v/>
      </c>
      <c r="F868" s="8" t="str">
        <f>IF($G868="","",INDEX('EDS Lookup'!$G$6:$G$2819,$G868))</f>
        <v/>
      </c>
      <c r="G868" t="str">
        <f>IF(845&lt;=$B$4,IFERROR(MATCH(845,'EDS Lookup'!$H$6:$H$2819,0),""),"")</f>
        <v/>
      </c>
      <c r="H868" t="str">
        <f t="shared" si="13"/>
        <v/>
      </c>
    </row>
    <row r="869" spans="1:8" ht="19.95" customHeight="1">
      <c r="A869" s="5" t="str">
        <f>IF($G869="","",INDEX('EDS Lookup'!$D$6:$D$2819,$G869))</f>
        <v/>
      </c>
      <c r="B869" s="5" t="str">
        <f>IF($G869="","",INDEX('EDS Lookup'!$B$6:$B$2819,$G869))</f>
        <v/>
      </c>
      <c r="C869" s="17"/>
      <c r="D869" s="6"/>
      <c r="E869" s="7" t="str">
        <f>IF($G869="","",INDEX('EDS Lookup'!$F$6:$F$2819,$G869))</f>
        <v/>
      </c>
      <c r="F869" s="8" t="str">
        <f>IF($G869="","",INDEX('EDS Lookup'!$G$6:$G$2819,$G869))</f>
        <v/>
      </c>
      <c r="G869" t="str">
        <f>IF(846&lt;=$B$4,IFERROR(MATCH(846,'EDS Lookup'!$H$6:$H$2819,0),""),"")</f>
        <v/>
      </c>
      <c r="H869" t="str">
        <f t="shared" si="13"/>
        <v/>
      </c>
    </row>
    <row r="870" spans="1:8" ht="19.95" customHeight="1">
      <c r="A870" s="5" t="str">
        <f>IF($G870="","",INDEX('EDS Lookup'!$D$6:$D$2819,$G870))</f>
        <v/>
      </c>
      <c r="B870" s="5" t="str">
        <f>IF($G870="","",INDEX('EDS Lookup'!$B$6:$B$2819,$G870))</f>
        <v/>
      </c>
      <c r="C870" s="17"/>
      <c r="D870" s="6"/>
      <c r="E870" s="7" t="str">
        <f>IF($G870="","",INDEX('EDS Lookup'!$F$6:$F$2819,$G870))</f>
        <v/>
      </c>
      <c r="F870" s="8" t="str">
        <f>IF($G870="","",INDEX('EDS Lookup'!$G$6:$G$2819,$G870))</f>
        <v/>
      </c>
      <c r="G870" t="str">
        <f>IF(847&lt;=$B$4,IFERROR(MATCH(847,'EDS Lookup'!$H$6:$H$2819,0),""),"")</f>
        <v/>
      </c>
      <c r="H870" t="str">
        <f t="shared" si="13"/>
        <v/>
      </c>
    </row>
    <row r="871" spans="1:8" ht="19.95" customHeight="1">
      <c r="A871" s="5" t="str">
        <f>IF($G871="","",INDEX('EDS Lookup'!$D$6:$D$2819,$G871))</f>
        <v/>
      </c>
      <c r="B871" s="5" t="str">
        <f>IF($G871="","",INDEX('EDS Lookup'!$B$6:$B$2819,$G871))</f>
        <v/>
      </c>
      <c r="C871" s="17"/>
      <c r="D871" s="6"/>
      <c r="E871" s="7" t="str">
        <f>IF($G871="","",INDEX('EDS Lookup'!$F$6:$F$2819,$G871))</f>
        <v/>
      </c>
      <c r="F871" s="8" t="str">
        <f>IF($G871="","",INDEX('EDS Lookup'!$G$6:$G$2819,$G871))</f>
        <v/>
      </c>
      <c r="G871" t="str">
        <f>IF(848&lt;=$B$4,IFERROR(MATCH(848,'EDS Lookup'!$H$6:$H$2819,0),""),"")</f>
        <v/>
      </c>
      <c r="H871" t="str">
        <f t="shared" si="13"/>
        <v/>
      </c>
    </row>
    <row r="872" spans="1:8" ht="19.95" customHeight="1">
      <c r="A872" s="5" t="str">
        <f>IF($G872="","",INDEX('EDS Lookup'!$D$6:$D$2819,$G872))</f>
        <v/>
      </c>
      <c r="B872" s="5" t="str">
        <f>IF($G872="","",INDEX('EDS Lookup'!$B$6:$B$2819,$G872))</f>
        <v/>
      </c>
      <c r="C872" s="17"/>
      <c r="D872" s="6"/>
      <c r="E872" s="7" t="str">
        <f>IF($G872="","",INDEX('EDS Lookup'!$F$6:$F$2819,$G872))</f>
        <v/>
      </c>
      <c r="F872" s="8" t="str">
        <f>IF($G872="","",INDEX('EDS Lookup'!$G$6:$G$2819,$G872))</f>
        <v/>
      </c>
      <c r="G872" t="str">
        <f>IF(849&lt;=$B$4,IFERROR(MATCH(849,'EDS Lookup'!$H$6:$H$2819,0),""),"")</f>
        <v/>
      </c>
      <c r="H872" t="str">
        <f t="shared" si="13"/>
        <v/>
      </c>
    </row>
    <row r="873" spans="1:8" ht="19.95" customHeight="1">
      <c r="A873" s="5" t="str">
        <f>IF($G873="","",INDEX('EDS Lookup'!$D$6:$D$2819,$G873))</f>
        <v/>
      </c>
      <c r="B873" s="5" t="str">
        <f>IF($G873="","",INDEX('EDS Lookup'!$B$6:$B$2819,$G873))</f>
        <v/>
      </c>
      <c r="C873" s="17"/>
      <c r="D873" s="6"/>
      <c r="E873" s="7" t="str">
        <f>IF($G873="","",INDEX('EDS Lookup'!$F$6:$F$2819,$G873))</f>
        <v/>
      </c>
      <c r="F873" s="8" t="str">
        <f>IF($G873="","",INDEX('EDS Lookup'!$G$6:$G$2819,$G873))</f>
        <v/>
      </c>
      <c r="G873" t="str">
        <f>IF(850&lt;=$B$4,IFERROR(MATCH(850,'EDS Lookup'!$H$6:$H$2819,0),""),"")</f>
        <v/>
      </c>
      <c r="H873" t="str">
        <f t="shared" si="13"/>
        <v/>
      </c>
    </row>
    <row r="874" spans="1:8" ht="19.95" customHeight="1">
      <c r="A874" s="5" t="str">
        <f>IF($G874="","",INDEX('EDS Lookup'!$D$6:$D$2819,$G874))</f>
        <v/>
      </c>
      <c r="B874" s="5" t="str">
        <f>IF($G874="","",INDEX('EDS Lookup'!$B$6:$B$2819,$G874))</f>
        <v/>
      </c>
      <c r="C874" s="17"/>
      <c r="D874" s="6"/>
      <c r="E874" s="7" t="str">
        <f>IF($G874="","",INDEX('EDS Lookup'!$F$6:$F$2819,$G874))</f>
        <v/>
      </c>
      <c r="F874" s="8" t="str">
        <f>IF($G874="","",INDEX('EDS Lookup'!$G$6:$G$2819,$G874))</f>
        <v/>
      </c>
      <c r="G874" t="str">
        <f>IF(851&lt;=$B$4,IFERROR(MATCH(851,'EDS Lookup'!$H$6:$H$2819,0),""),"")</f>
        <v/>
      </c>
      <c r="H874" t="str">
        <f t="shared" si="13"/>
        <v/>
      </c>
    </row>
    <row r="875" spans="1:8" ht="19.95" customHeight="1">
      <c r="A875" s="5" t="str">
        <f>IF($G875="","",INDEX('EDS Lookup'!$D$6:$D$2819,$G875))</f>
        <v/>
      </c>
      <c r="B875" s="5" t="str">
        <f>IF($G875="","",INDEX('EDS Lookup'!$B$6:$B$2819,$G875))</f>
        <v/>
      </c>
      <c r="C875" s="17"/>
      <c r="D875" s="6"/>
      <c r="E875" s="7" t="str">
        <f>IF($G875="","",INDEX('EDS Lookup'!$F$6:$F$2819,$G875))</f>
        <v/>
      </c>
      <c r="F875" s="8" t="str">
        <f>IF($G875="","",INDEX('EDS Lookup'!$G$6:$G$2819,$G875))</f>
        <v/>
      </c>
      <c r="G875" t="str">
        <f>IF(852&lt;=$B$4,IFERROR(MATCH(852,'EDS Lookup'!$H$6:$H$2819,0),""),"")</f>
        <v/>
      </c>
      <c r="H875" t="str">
        <f t="shared" si="13"/>
        <v/>
      </c>
    </row>
    <row r="876" spans="1:8" ht="19.95" customHeight="1">
      <c r="A876" s="5" t="str">
        <f>IF($G876="","",INDEX('EDS Lookup'!$D$6:$D$2819,$G876))</f>
        <v/>
      </c>
      <c r="B876" s="5" t="str">
        <f>IF($G876="","",INDEX('EDS Lookup'!$B$6:$B$2819,$G876))</f>
        <v/>
      </c>
      <c r="C876" s="17"/>
      <c r="D876" s="6"/>
      <c r="E876" s="7" t="str">
        <f>IF($G876="","",INDEX('EDS Lookup'!$F$6:$F$2819,$G876))</f>
        <v/>
      </c>
      <c r="F876" s="8" t="str">
        <f>IF($G876="","",INDEX('EDS Lookup'!$G$6:$G$2819,$G876))</f>
        <v/>
      </c>
      <c r="G876" t="str">
        <f>IF(853&lt;=$B$4,IFERROR(MATCH(853,'EDS Lookup'!$H$6:$H$2819,0),""),"")</f>
        <v/>
      </c>
      <c r="H876" t="str">
        <f t="shared" si="13"/>
        <v/>
      </c>
    </row>
    <row r="877" spans="1:8" ht="19.95" customHeight="1">
      <c r="A877" s="5" t="str">
        <f>IF($G877="","",INDEX('EDS Lookup'!$D$6:$D$2819,$G877))</f>
        <v/>
      </c>
      <c r="B877" s="5" t="str">
        <f>IF($G877="","",INDEX('EDS Lookup'!$B$6:$B$2819,$G877))</f>
        <v/>
      </c>
      <c r="C877" s="17"/>
      <c r="D877" s="6"/>
      <c r="E877" s="7" t="str">
        <f>IF($G877="","",INDEX('EDS Lookup'!$F$6:$F$2819,$G877))</f>
        <v/>
      </c>
      <c r="F877" s="8" t="str">
        <f>IF($G877="","",INDEX('EDS Lookup'!$G$6:$G$2819,$G877))</f>
        <v/>
      </c>
      <c r="G877" t="str">
        <f>IF(854&lt;=$B$4,IFERROR(MATCH(854,'EDS Lookup'!$H$6:$H$2819,0),""),"")</f>
        <v/>
      </c>
      <c r="H877" t="str">
        <f t="shared" si="13"/>
        <v/>
      </c>
    </row>
    <row r="878" spans="1:8" ht="19.95" customHeight="1">
      <c r="A878" s="5" t="str">
        <f>IF($G878="","",INDEX('EDS Lookup'!$D$6:$D$2819,$G878))</f>
        <v/>
      </c>
      <c r="B878" s="5" t="str">
        <f>IF($G878="","",INDEX('EDS Lookup'!$B$6:$B$2819,$G878))</f>
        <v/>
      </c>
      <c r="C878" s="17"/>
      <c r="D878" s="6"/>
      <c r="E878" s="7" t="str">
        <f>IF($G878="","",INDEX('EDS Lookup'!$F$6:$F$2819,$G878))</f>
        <v/>
      </c>
      <c r="F878" s="8" t="str">
        <f>IF($G878="","",INDEX('EDS Lookup'!$G$6:$G$2819,$G878))</f>
        <v/>
      </c>
      <c r="G878" t="str">
        <f>IF(855&lt;=$B$4,IFERROR(MATCH(855,'EDS Lookup'!$H$6:$H$2819,0),""),"")</f>
        <v/>
      </c>
      <c r="H878" t="str">
        <f t="shared" si="13"/>
        <v/>
      </c>
    </row>
    <row r="879" spans="1:8" ht="19.95" customHeight="1">
      <c r="A879" s="5" t="str">
        <f>IF($G879="","",INDEX('EDS Lookup'!$D$6:$D$2819,$G879))</f>
        <v/>
      </c>
      <c r="B879" s="5" t="str">
        <f>IF($G879="","",INDEX('EDS Lookup'!$B$6:$B$2819,$G879))</f>
        <v/>
      </c>
      <c r="C879" s="17"/>
      <c r="D879" s="6"/>
      <c r="E879" s="7" t="str">
        <f>IF($G879="","",INDEX('EDS Lookup'!$F$6:$F$2819,$G879))</f>
        <v/>
      </c>
      <c r="F879" s="8" t="str">
        <f>IF($G879="","",INDEX('EDS Lookup'!$G$6:$G$2819,$G879))</f>
        <v/>
      </c>
      <c r="G879" t="str">
        <f>IF(856&lt;=$B$4,IFERROR(MATCH(856,'EDS Lookup'!$H$6:$H$2819,0),""),"")</f>
        <v/>
      </c>
      <c r="H879" t="str">
        <f t="shared" si="13"/>
        <v/>
      </c>
    </row>
    <row r="880" spans="1:8" ht="19.95" customHeight="1">
      <c r="A880" s="5" t="str">
        <f>IF($G880="","",INDEX('EDS Lookup'!$D$6:$D$2819,$G880))</f>
        <v/>
      </c>
      <c r="B880" s="5" t="str">
        <f>IF($G880="","",INDEX('EDS Lookup'!$B$6:$B$2819,$G880))</f>
        <v/>
      </c>
      <c r="C880" s="17"/>
      <c r="D880" s="6"/>
      <c r="E880" s="7" t="str">
        <f>IF($G880="","",INDEX('EDS Lookup'!$F$6:$F$2819,$G880))</f>
        <v/>
      </c>
      <c r="F880" s="8" t="str">
        <f>IF($G880="","",INDEX('EDS Lookup'!$G$6:$G$2819,$G880))</f>
        <v/>
      </c>
      <c r="G880" t="str">
        <f>IF(857&lt;=$B$4,IFERROR(MATCH(857,'EDS Lookup'!$H$6:$H$2819,0),""),"")</f>
        <v/>
      </c>
      <c r="H880" t="str">
        <f t="shared" si="13"/>
        <v/>
      </c>
    </row>
    <row r="881" spans="1:8" ht="19.95" customHeight="1">
      <c r="A881" s="5" t="str">
        <f>IF($G881="","",INDEX('EDS Lookup'!$D$6:$D$2819,$G881))</f>
        <v/>
      </c>
      <c r="B881" s="5" t="str">
        <f>IF($G881="","",INDEX('EDS Lookup'!$B$6:$B$2819,$G881))</f>
        <v/>
      </c>
      <c r="C881" s="17"/>
      <c r="D881" s="6"/>
      <c r="E881" s="7" t="str">
        <f>IF($G881="","",INDEX('EDS Lookup'!$F$6:$F$2819,$G881))</f>
        <v/>
      </c>
      <c r="F881" s="8" t="str">
        <f>IF($G881="","",INDEX('EDS Lookup'!$G$6:$G$2819,$G881))</f>
        <v/>
      </c>
      <c r="G881" t="str">
        <f>IF(858&lt;=$B$4,IFERROR(MATCH(858,'EDS Lookup'!$H$6:$H$2819,0),""),"")</f>
        <v/>
      </c>
      <c r="H881" t="str">
        <f t="shared" si="13"/>
        <v/>
      </c>
    </row>
    <row r="882" spans="1:8" ht="19.95" customHeight="1">
      <c r="A882" s="5" t="str">
        <f>IF($G882="","",INDEX('EDS Lookup'!$D$6:$D$2819,$G882))</f>
        <v/>
      </c>
      <c r="B882" s="5" t="str">
        <f>IF($G882="","",INDEX('EDS Lookup'!$B$6:$B$2819,$G882))</f>
        <v/>
      </c>
      <c r="C882" s="17"/>
      <c r="D882" s="6"/>
      <c r="E882" s="7" t="str">
        <f>IF($G882="","",INDEX('EDS Lookup'!$F$6:$F$2819,$G882))</f>
        <v/>
      </c>
      <c r="F882" s="8" t="str">
        <f>IF($G882="","",INDEX('EDS Lookup'!$G$6:$G$2819,$G882))</f>
        <v/>
      </c>
      <c r="G882" t="str">
        <f>IF(859&lt;=$B$4,IFERROR(MATCH(859,'EDS Lookup'!$H$6:$H$2819,0),""),"")</f>
        <v/>
      </c>
      <c r="H882" t="str">
        <f t="shared" si="13"/>
        <v/>
      </c>
    </row>
    <row r="883" spans="1:8" ht="19.95" customHeight="1">
      <c r="A883" s="5" t="str">
        <f>IF($G883="","",INDEX('EDS Lookup'!$D$6:$D$2819,$G883))</f>
        <v/>
      </c>
      <c r="B883" s="5" t="str">
        <f>IF($G883="","",INDEX('EDS Lookup'!$B$6:$B$2819,$G883))</f>
        <v/>
      </c>
      <c r="C883" s="17"/>
      <c r="D883" s="6"/>
      <c r="E883" s="7" t="str">
        <f>IF($G883="","",INDEX('EDS Lookup'!$F$6:$F$2819,$G883))</f>
        <v/>
      </c>
      <c r="F883" s="8" t="str">
        <f>IF($G883="","",INDEX('EDS Lookup'!$G$6:$G$2819,$G883))</f>
        <v/>
      </c>
      <c r="G883" t="str">
        <f>IF(860&lt;=$B$4,IFERROR(MATCH(860,'EDS Lookup'!$H$6:$H$2819,0),""),"")</f>
        <v/>
      </c>
      <c r="H883" t="str">
        <f t="shared" si="13"/>
        <v/>
      </c>
    </row>
    <row r="884" spans="1:8" ht="19.95" customHeight="1">
      <c r="A884" s="5" t="str">
        <f>IF($G884="","",INDEX('EDS Lookup'!$D$6:$D$2819,$G884))</f>
        <v/>
      </c>
      <c r="B884" s="5" t="str">
        <f>IF($G884="","",INDEX('EDS Lookup'!$B$6:$B$2819,$G884))</f>
        <v/>
      </c>
      <c r="C884" s="17"/>
      <c r="D884" s="6"/>
      <c r="E884" s="7" t="str">
        <f>IF($G884="","",INDEX('EDS Lookup'!$F$6:$F$2819,$G884))</f>
        <v/>
      </c>
      <c r="F884" s="8" t="str">
        <f>IF($G884="","",INDEX('EDS Lookup'!$G$6:$G$2819,$G884))</f>
        <v/>
      </c>
      <c r="G884" t="str">
        <f>IF(861&lt;=$B$4,IFERROR(MATCH(861,'EDS Lookup'!$H$6:$H$2819,0),""),"")</f>
        <v/>
      </c>
      <c r="H884" t="str">
        <f t="shared" si="13"/>
        <v/>
      </c>
    </row>
    <row r="885" spans="1:8" ht="19.95" customHeight="1">
      <c r="A885" s="5" t="str">
        <f>IF($G885="","",INDEX('EDS Lookup'!$D$6:$D$2819,$G885))</f>
        <v/>
      </c>
      <c r="B885" s="5" t="str">
        <f>IF($G885="","",INDEX('EDS Lookup'!$B$6:$B$2819,$G885))</f>
        <v/>
      </c>
      <c r="C885" s="17"/>
      <c r="D885" s="6"/>
      <c r="E885" s="7" t="str">
        <f>IF($G885="","",INDEX('EDS Lookup'!$F$6:$F$2819,$G885))</f>
        <v/>
      </c>
      <c r="F885" s="8" t="str">
        <f>IF($G885="","",INDEX('EDS Lookup'!$G$6:$G$2819,$G885))</f>
        <v/>
      </c>
      <c r="G885" t="str">
        <f>IF(862&lt;=$B$4,IFERROR(MATCH(862,'EDS Lookup'!$H$6:$H$2819,0),""),"")</f>
        <v/>
      </c>
      <c r="H885" t="str">
        <f t="shared" si="13"/>
        <v/>
      </c>
    </row>
    <row r="886" spans="1:8" ht="19.95" customHeight="1">
      <c r="A886" s="5" t="str">
        <f>IF($G886="","",INDEX('EDS Lookup'!$D$6:$D$2819,$G886))</f>
        <v/>
      </c>
      <c r="B886" s="5" t="str">
        <f>IF($G886="","",INDEX('EDS Lookup'!$B$6:$B$2819,$G886))</f>
        <v/>
      </c>
      <c r="C886" s="17"/>
      <c r="D886" s="6"/>
      <c r="E886" s="7" t="str">
        <f>IF($G886="","",INDEX('EDS Lookup'!$F$6:$F$2819,$G886))</f>
        <v/>
      </c>
      <c r="F886" s="8" t="str">
        <f>IF($G886="","",INDEX('EDS Lookup'!$G$6:$G$2819,$G886))</f>
        <v/>
      </c>
      <c r="G886" t="str">
        <f>IF(863&lt;=$B$4,IFERROR(MATCH(863,'EDS Lookup'!$H$6:$H$2819,0),""),"")</f>
        <v/>
      </c>
      <c r="H886" t="str">
        <f t="shared" si="13"/>
        <v/>
      </c>
    </row>
    <row r="887" spans="1:8" ht="19.95" customHeight="1">
      <c r="A887" s="5" t="str">
        <f>IF($G887="","",INDEX('EDS Lookup'!$D$6:$D$2819,$G887))</f>
        <v/>
      </c>
      <c r="B887" s="5" t="str">
        <f>IF($G887="","",INDEX('EDS Lookup'!$B$6:$B$2819,$G887))</f>
        <v/>
      </c>
      <c r="C887" s="17"/>
      <c r="D887" s="6"/>
      <c r="E887" s="7" t="str">
        <f>IF($G887="","",INDEX('EDS Lookup'!$F$6:$F$2819,$G887))</f>
        <v/>
      </c>
      <c r="F887" s="8" t="str">
        <f>IF($G887="","",INDEX('EDS Lookup'!$G$6:$G$2819,$G887))</f>
        <v/>
      </c>
      <c r="G887" t="str">
        <f>IF(864&lt;=$B$4,IFERROR(MATCH(864,'EDS Lookup'!$H$6:$H$2819,0),""),"")</f>
        <v/>
      </c>
      <c r="H887" t="str">
        <f t="shared" si="13"/>
        <v/>
      </c>
    </row>
    <row r="888" spans="1:8" ht="19.95" customHeight="1">
      <c r="A888" s="5" t="str">
        <f>IF($G888="","",INDEX('EDS Lookup'!$D$6:$D$2819,$G888))</f>
        <v/>
      </c>
      <c r="B888" s="5" t="str">
        <f>IF($G888="","",INDEX('EDS Lookup'!$B$6:$B$2819,$G888))</f>
        <v/>
      </c>
      <c r="C888" s="17"/>
      <c r="D888" s="6"/>
      <c r="E888" s="7" t="str">
        <f>IF($G888="","",INDEX('EDS Lookup'!$F$6:$F$2819,$G888))</f>
        <v/>
      </c>
      <c r="F888" s="8" t="str">
        <f>IF($G888="","",INDEX('EDS Lookup'!$G$6:$G$2819,$G888))</f>
        <v/>
      </c>
      <c r="G888" t="str">
        <f>IF(865&lt;=$B$4,IFERROR(MATCH(865,'EDS Lookup'!$H$6:$H$2819,0),""),"")</f>
        <v/>
      </c>
      <c r="H888" t="str">
        <f t="shared" si="13"/>
        <v/>
      </c>
    </row>
    <row r="889" spans="1:8" ht="19.95" customHeight="1">
      <c r="A889" s="5" t="str">
        <f>IF($G889="","",INDEX('EDS Lookup'!$D$6:$D$2819,$G889))</f>
        <v/>
      </c>
      <c r="B889" s="5" t="str">
        <f>IF($G889="","",INDEX('EDS Lookup'!$B$6:$B$2819,$G889))</f>
        <v/>
      </c>
      <c r="C889" s="17"/>
      <c r="D889" s="6"/>
      <c r="E889" s="7" t="str">
        <f>IF($G889="","",INDEX('EDS Lookup'!$F$6:$F$2819,$G889))</f>
        <v/>
      </c>
      <c r="F889" s="8" t="str">
        <f>IF($G889="","",INDEX('EDS Lookup'!$G$6:$G$2819,$G889))</f>
        <v/>
      </c>
      <c r="G889" t="str">
        <f>IF(866&lt;=$B$4,IFERROR(MATCH(866,'EDS Lookup'!$H$6:$H$2819,0),""),"")</f>
        <v/>
      </c>
      <c r="H889" t="str">
        <f t="shared" si="13"/>
        <v/>
      </c>
    </row>
    <row r="890" spans="1:8" ht="19.95" customHeight="1">
      <c r="A890" s="5" t="str">
        <f>IF($G890="","",INDEX('EDS Lookup'!$D$6:$D$2819,$G890))</f>
        <v/>
      </c>
      <c r="B890" s="5" t="str">
        <f>IF($G890="","",INDEX('EDS Lookup'!$B$6:$B$2819,$G890))</f>
        <v/>
      </c>
      <c r="C890" s="17"/>
      <c r="D890" s="6"/>
      <c r="E890" s="7" t="str">
        <f>IF($G890="","",INDEX('EDS Lookup'!$F$6:$F$2819,$G890))</f>
        <v/>
      </c>
      <c r="F890" s="8" t="str">
        <f>IF($G890="","",INDEX('EDS Lookup'!$G$6:$G$2819,$G890))</f>
        <v/>
      </c>
      <c r="G890" t="str">
        <f>IF(867&lt;=$B$4,IFERROR(MATCH(867,'EDS Lookup'!$H$6:$H$2819,0),""),"")</f>
        <v/>
      </c>
      <c r="H890" t="str">
        <f t="shared" si="13"/>
        <v/>
      </c>
    </row>
    <row r="891" spans="1:8" ht="19.95" customHeight="1">
      <c r="A891" s="5" t="str">
        <f>IF($G891="","",INDEX('EDS Lookup'!$D$6:$D$2819,$G891))</f>
        <v/>
      </c>
      <c r="B891" s="5" t="str">
        <f>IF($G891="","",INDEX('EDS Lookup'!$B$6:$B$2819,$G891))</f>
        <v/>
      </c>
      <c r="C891" s="17"/>
      <c r="D891" s="6"/>
      <c r="E891" s="7" t="str">
        <f>IF($G891="","",INDEX('EDS Lookup'!$F$6:$F$2819,$G891))</f>
        <v/>
      </c>
      <c r="F891" s="8" t="str">
        <f>IF($G891="","",INDEX('EDS Lookup'!$G$6:$G$2819,$G891))</f>
        <v/>
      </c>
      <c r="G891" t="str">
        <f>IF(868&lt;=$B$4,IFERROR(MATCH(868,'EDS Lookup'!$H$6:$H$2819,0),""),"")</f>
        <v/>
      </c>
      <c r="H891" t="str">
        <f t="shared" si="13"/>
        <v/>
      </c>
    </row>
    <row r="892" spans="1:8" ht="19.95" customHeight="1">
      <c r="A892" s="5" t="str">
        <f>IF($G892="","",INDEX('EDS Lookup'!$D$6:$D$2819,$G892))</f>
        <v/>
      </c>
      <c r="B892" s="5" t="str">
        <f>IF($G892="","",INDEX('EDS Lookup'!$B$6:$B$2819,$G892))</f>
        <v/>
      </c>
      <c r="C892" s="17"/>
      <c r="D892" s="6"/>
      <c r="E892" s="7" t="str">
        <f>IF($G892="","",INDEX('EDS Lookup'!$F$6:$F$2819,$G892))</f>
        <v/>
      </c>
      <c r="F892" s="8" t="str">
        <f>IF($G892="","",INDEX('EDS Lookup'!$G$6:$G$2819,$G892))</f>
        <v/>
      </c>
      <c r="G892" t="str">
        <f>IF(869&lt;=$B$4,IFERROR(MATCH(869,'EDS Lookup'!$H$6:$H$2819,0),""),"")</f>
        <v/>
      </c>
      <c r="H892" t="str">
        <f t="shared" si="13"/>
        <v/>
      </c>
    </row>
    <row r="893" spans="1:8" ht="19.95" customHeight="1">
      <c r="A893" s="5" t="str">
        <f>IF($G893="","",INDEX('EDS Lookup'!$D$6:$D$2819,$G893))</f>
        <v/>
      </c>
      <c r="B893" s="5" t="str">
        <f>IF($G893="","",INDEX('EDS Lookup'!$B$6:$B$2819,$G893))</f>
        <v/>
      </c>
      <c r="C893" s="17"/>
      <c r="D893" s="6"/>
      <c r="E893" s="7" t="str">
        <f>IF($G893="","",INDEX('EDS Lookup'!$F$6:$F$2819,$G893))</f>
        <v/>
      </c>
      <c r="F893" s="8" t="str">
        <f>IF($G893="","",INDEX('EDS Lookup'!$G$6:$G$2819,$G893))</f>
        <v/>
      </c>
      <c r="G893" t="str">
        <f>IF(870&lt;=$B$4,IFERROR(MATCH(870,'EDS Lookup'!$H$6:$H$2819,0),""),"")</f>
        <v/>
      </c>
      <c r="H893" t="str">
        <f t="shared" si="13"/>
        <v/>
      </c>
    </row>
    <row r="894" spans="1:8" ht="19.95" customHeight="1">
      <c r="A894" s="5" t="str">
        <f>IF($G894="","",INDEX('EDS Lookup'!$D$6:$D$2819,$G894))</f>
        <v/>
      </c>
      <c r="B894" s="5" t="str">
        <f>IF($G894="","",INDEX('EDS Lookup'!$B$6:$B$2819,$G894))</f>
        <v/>
      </c>
      <c r="C894" s="17"/>
      <c r="D894" s="6"/>
      <c r="E894" s="7" t="str">
        <f>IF($G894="","",INDEX('EDS Lookup'!$F$6:$F$2819,$G894))</f>
        <v/>
      </c>
      <c r="F894" s="8" t="str">
        <f>IF($G894="","",INDEX('EDS Lookup'!$G$6:$G$2819,$G894))</f>
        <v/>
      </c>
      <c r="G894" t="str">
        <f>IF(871&lt;=$B$4,IFERROR(MATCH(871,'EDS Lookup'!$H$6:$H$2819,0),""),"")</f>
        <v/>
      </c>
      <c r="H894" t="str">
        <f t="shared" si="13"/>
        <v/>
      </c>
    </row>
    <row r="895" spans="1:8" ht="19.95" customHeight="1">
      <c r="A895" s="5" t="str">
        <f>IF($G895="","",INDEX('EDS Lookup'!$D$6:$D$2819,$G895))</f>
        <v/>
      </c>
      <c r="B895" s="5" t="str">
        <f>IF($G895="","",INDEX('EDS Lookup'!$B$6:$B$2819,$G895))</f>
        <v/>
      </c>
      <c r="C895" s="17"/>
      <c r="D895" s="6"/>
      <c r="E895" s="7" t="str">
        <f>IF($G895="","",INDEX('EDS Lookup'!$F$6:$F$2819,$G895))</f>
        <v/>
      </c>
      <c r="F895" s="8" t="str">
        <f>IF($G895="","",INDEX('EDS Lookup'!$G$6:$G$2819,$G895))</f>
        <v/>
      </c>
      <c r="G895" t="str">
        <f>IF(872&lt;=$B$4,IFERROR(MATCH(872,'EDS Lookup'!$H$6:$H$2819,0),""),"")</f>
        <v/>
      </c>
      <c r="H895" t="str">
        <f t="shared" si="13"/>
        <v/>
      </c>
    </row>
    <row r="896" spans="1:8" ht="19.95" customHeight="1">
      <c r="A896" s="5" t="str">
        <f>IF($G896="","",INDEX('EDS Lookup'!$D$6:$D$2819,$G896))</f>
        <v/>
      </c>
      <c r="B896" s="5" t="str">
        <f>IF($G896="","",INDEX('EDS Lookup'!$B$6:$B$2819,$G896))</f>
        <v/>
      </c>
      <c r="C896" s="17"/>
      <c r="D896" s="6"/>
      <c r="E896" s="7" t="str">
        <f>IF($G896="","",INDEX('EDS Lookup'!$F$6:$F$2819,$G896))</f>
        <v/>
      </c>
      <c r="F896" s="8" t="str">
        <f>IF($G896="","",INDEX('EDS Lookup'!$G$6:$G$2819,$G896))</f>
        <v/>
      </c>
      <c r="G896" t="str">
        <f>IF(873&lt;=$B$4,IFERROR(MATCH(873,'EDS Lookup'!$H$6:$H$2819,0),""),"")</f>
        <v/>
      </c>
      <c r="H896" t="str">
        <f t="shared" si="13"/>
        <v/>
      </c>
    </row>
    <row r="897" spans="1:8" ht="19.95" customHeight="1">
      <c r="A897" s="5" t="str">
        <f>IF($G897="","",INDEX('EDS Lookup'!$D$6:$D$2819,$G897))</f>
        <v/>
      </c>
      <c r="B897" s="5" t="str">
        <f>IF($G897="","",INDEX('EDS Lookup'!$B$6:$B$2819,$G897))</f>
        <v/>
      </c>
      <c r="C897" s="17"/>
      <c r="D897" s="6"/>
      <c r="E897" s="7" t="str">
        <f>IF($G897="","",INDEX('EDS Lookup'!$F$6:$F$2819,$G897))</f>
        <v/>
      </c>
      <c r="F897" s="8" t="str">
        <f>IF($G897="","",INDEX('EDS Lookup'!$G$6:$G$2819,$G897))</f>
        <v/>
      </c>
      <c r="G897" t="str">
        <f>IF(874&lt;=$B$4,IFERROR(MATCH(874,'EDS Lookup'!$H$6:$H$2819,0),""),"")</f>
        <v/>
      </c>
      <c r="H897" t="str">
        <f t="shared" si="13"/>
        <v/>
      </c>
    </row>
    <row r="898" spans="1:8" ht="19.95" customHeight="1">
      <c r="A898" s="5" t="str">
        <f>IF($G898="","",INDEX('EDS Lookup'!$D$6:$D$2819,$G898))</f>
        <v/>
      </c>
      <c r="B898" s="5" t="str">
        <f>IF($G898="","",INDEX('EDS Lookup'!$B$6:$B$2819,$G898))</f>
        <v/>
      </c>
      <c r="C898" s="17"/>
      <c r="D898" s="6"/>
      <c r="E898" s="7" t="str">
        <f>IF($G898="","",INDEX('EDS Lookup'!$F$6:$F$2819,$G898))</f>
        <v/>
      </c>
      <c r="F898" s="8" t="str">
        <f>IF($G898="","",INDEX('EDS Lookup'!$G$6:$G$2819,$G898))</f>
        <v/>
      </c>
      <c r="G898" t="str">
        <f>IF(875&lt;=$B$4,IFERROR(MATCH(875,'EDS Lookup'!$H$6:$H$2819,0),""),"")</f>
        <v/>
      </c>
      <c r="H898" t="str">
        <f t="shared" si="13"/>
        <v/>
      </c>
    </row>
    <row r="899" spans="1:8" ht="19.95" customHeight="1">
      <c r="A899" s="5" t="str">
        <f>IF($G899="","",INDEX('EDS Lookup'!$D$6:$D$2819,$G899))</f>
        <v/>
      </c>
      <c r="B899" s="5" t="str">
        <f>IF($G899="","",INDEX('EDS Lookup'!$B$6:$B$2819,$G899))</f>
        <v/>
      </c>
      <c r="C899" s="17"/>
      <c r="D899" s="6"/>
      <c r="E899" s="7" t="str">
        <f>IF($G899="","",INDEX('EDS Lookup'!$F$6:$F$2819,$G899))</f>
        <v/>
      </c>
      <c r="F899" s="8" t="str">
        <f>IF($G899="","",INDEX('EDS Lookup'!$G$6:$G$2819,$G899))</f>
        <v/>
      </c>
      <c r="G899" t="str">
        <f>IF(876&lt;=$B$4,IFERROR(MATCH(876,'EDS Lookup'!$H$6:$H$2819,0),""),"")</f>
        <v/>
      </c>
      <c r="H899" t="str">
        <f t="shared" si="13"/>
        <v/>
      </c>
    </row>
    <row r="900" spans="1:8" ht="19.95" customHeight="1">
      <c r="A900" s="5" t="str">
        <f>IF($G900="","",INDEX('EDS Lookup'!$D$6:$D$2819,$G900))</f>
        <v/>
      </c>
      <c r="B900" s="5" t="str">
        <f>IF($G900="","",INDEX('EDS Lookup'!$B$6:$B$2819,$G900))</f>
        <v/>
      </c>
      <c r="C900" s="17"/>
      <c r="D900" s="6"/>
      <c r="E900" s="7" t="str">
        <f>IF($G900="","",INDEX('EDS Lookup'!$F$6:$F$2819,$G900))</f>
        <v/>
      </c>
      <c r="F900" s="8" t="str">
        <f>IF($G900="","",INDEX('EDS Lookup'!$G$6:$G$2819,$G900))</f>
        <v/>
      </c>
      <c r="G900" t="str">
        <f>IF(877&lt;=$B$4,IFERROR(MATCH(877,'EDS Lookup'!$H$6:$H$2819,0),""),"")</f>
        <v/>
      </c>
      <c r="H900" t="str">
        <f t="shared" si="13"/>
        <v/>
      </c>
    </row>
    <row r="901" spans="1:8" ht="19.95" customHeight="1">
      <c r="A901" s="5" t="str">
        <f>IF($G901="","",INDEX('EDS Lookup'!$D$6:$D$2819,$G901))</f>
        <v/>
      </c>
      <c r="B901" s="5" t="str">
        <f>IF($G901="","",INDEX('EDS Lookup'!$B$6:$B$2819,$G901))</f>
        <v/>
      </c>
      <c r="C901" s="17"/>
      <c r="D901" s="6"/>
      <c r="E901" s="7" t="str">
        <f>IF($G901="","",INDEX('EDS Lookup'!$F$6:$F$2819,$G901))</f>
        <v/>
      </c>
      <c r="F901" s="8" t="str">
        <f>IF($G901="","",INDEX('EDS Lookup'!$G$6:$G$2819,$G901))</f>
        <v/>
      </c>
      <c r="G901" t="str">
        <f>IF(878&lt;=$B$4,IFERROR(MATCH(878,'EDS Lookup'!$H$6:$H$2819,0),""),"")</f>
        <v/>
      </c>
      <c r="H901" t="str">
        <f t="shared" si="13"/>
        <v/>
      </c>
    </row>
    <row r="902" spans="1:8" ht="19.95" customHeight="1">
      <c r="A902" s="5" t="str">
        <f>IF($G902="","",INDEX('EDS Lookup'!$D$6:$D$2819,$G902))</f>
        <v/>
      </c>
      <c r="B902" s="5" t="str">
        <f>IF($G902="","",INDEX('EDS Lookup'!$B$6:$B$2819,$G902))</f>
        <v/>
      </c>
      <c r="C902" s="17"/>
      <c r="D902" s="6"/>
      <c r="E902" s="7" t="str">
        <f>IF($G902="","",INDEX('EDS Lookup'!$F$6:$F$2819,$G902))</f>
        <v/>
      </c>
      <c r="F902" s="8" t="str">
        <f>IF($G902="","",INDEX('EDS Lookup'!$G$6:$G$2819,$G902))</f>
        <v/>
      </c>
      <c r="G902" t="str">
        <f>IF(879&lt;=$B$4,IFERROR(MATCH(879,'EDS Lookup'!$H$6:$H$2819,0),""),"")</f>
        <v/>
      </c>
      <c r="H902" t="str">
        <f t="shared" si="13"/>
        <v/>
      </c>
    </row>
    <row r="903" spans="1:8" ht="19.95" customHeight="1">
      <c r="A903" s="5" t="str">
        <f>IF($G903="","",INDEX('EDS Lookup'!$D$6:$D$2819,$G903))</f>
        <v/>
      </c>
      <c r="B903" s="5" t="str">
        <f>IF($G903="","",INDEX('EDS Lookup'!$B$6:$B$2819,$G903))</f>
        <v/>
      </c>
      <c r="C903" s="17"/>
      <c r="D903" s="6"/>
      <c r="E903" s="7" t="str">
        <f>IF($G903="","",INDEX('EDS Lookup'!$F$6:$F$2819,$G903))</f>
        <v/>
      </c>
      <c r="F903" s="8" t="str">
        <f>IF($G903="","",INDEX('EDS Lookup'!$G$6:$G$2819,$G903))</f>
        <v/>
      </c>
      <c r="G903" t="str">
        <f>IF(880&lt;=$B$4,IFERROR(MATCH(880,'EDS Lookup'!$H$6:$H$2819,0),""),"")</f>
        <v/>
      </c>
      <c r="H903" t="str">
        <f t="shared" si="13"/>
        <v/>
      </c>
    </row>
    <row r="904" spans="1:8" ht="19.95" customHeight="1">
      <c r="A904" s="5" t="str">
        <f>IF($G904="","",INDEX('EDS Lookup'!$D$6:$D$2819,$G904))</f>
        <v/>
      </c>
      <c r="B904" s="5" t="str">
        <f>IF($G904="","",INDEX('EDS Lookup'!$B$6:$B$2819,$G904))</f>
        <v/>
      </c>
      <c r="C904" s="17"/>
      <c r="D904" s="6"/>
      <c r="E904" s="7" t="str">
        <f>IF($G904="","",INDEX('EDS Lookup'!$F$6:$F$2819,$G904))</f>
        <v/>
      </c>
      <c r="F904" s="8" t="str">
        <f>IF($G904="","",INDEX('EDS Lookup'!$G$6:$G$2819,$G904))</f>
        <v/>
      </c>
      <c r="G904" t="str">
        <f>IF(881&lt;=$B$4,IFERROR(MATCH(881,'EDS Lookup'!$H$6:$H$2819,0),""),"")</f>
        <v/>
      </c>
      <c r="H904" t="str">
        <f t="shared" si="13"/>
        <v/>
      </c>
    </row>
    <row r="905" spans="1:8" ht="19.95" customHeight="1">
      <c r="A905" s="5" t="str">
        <f>IF($G905="","",INDEX('EDS Lookup'!$D$6:$D$2819,$G905))</f>
        <v/>
      </c>
      <c r="B905" s="5" t="str">
        <f>IF($G905="","",INDEX('EDS Lookup'!$B$6:$B$2819,$G905))</f>
        <v/>
      </c>
      <c r="C905" s="17"/>
      <c r="D905" s="6"/>
      <c r="E905" s="7" t="str">
        <f>IF($G905="","",INDEX('EDS Lookup'!$F$6:$F$2819,$G905))</f>
        <v/>
      </c>
      <c r="F905" s="8" t="str">
        <f>IF($G905="","",INDEX('EDS Lookup'!$G$6:$G$2819,$G905))</f>
        <v/>
      </c>
      <c r="G905" t="str">
        <f>IF(882&lt;=$B$4,IFERROR(MATCH(882,'EDS Lookup'!$H$6:$H$2819,0),""),"")</f>
        <v/>
      </c>
      <c r="H905" t="str">
        <f t="shared" si="13"/>
        <v/>
      </c>
    </row>
    <row r="906" spans="1:8" ht="19.95" customHeight="1">
      <c r="A906" s="5" t="str">
        <f>IF($G906="","",INDEX('EDS Lookup'!$D$6:$D$2819,$G906))</f>
        <v/>
      </c>
      <c r="B906" s="5" t="str">
        <f>IF($G906="","",INDEX('EDS Lookup'!$B$6:$B$2819,$G906))</f>
        <v/>
      </c>
      <c r="C906" s="17"/>
      <c r="D906" s="6"/>
      <c r="E906" s="7" t="str">
        <f>IF($G906="","",INDEX('EDS Lookup'!$F$6:$F$2819,$G906))</f>
        <v/>
      </c>
      <c r="F906" s="8" t="str">
        <f>IF($G906="","",INDEX('EDS Lookup'!$G$6:$G$2819,$G906))</f>
        <v/>
      </c>
      <c r="G906" t="str">
        <f>IF(883&lt;=$B$4,IFERROR(MATCH(883,'EDS Lookup'!$H$6:$H$2819,0),""),"")</f>
        <v/>
      </c>
      <c r="H906" t="str">
        <f t="shared" si="13"/>
        <v/>
      </c>
    </row>
    <row r="907" spans="1:8" ht="19.95" customHeight="1">
      <c r="A907" s="5" t="str">
        <f>IF($G907="","",INDEX('EDS Lookup'!$D$6:$D$2819,$G907))</f>
        <v/>
      </c>
      <c r="B907" s="5" t="str">
        <f>IF($G907="","",INDEX('EDS Lookup'!$B$6:$B$2819,$G907))</f>
        <v/>
      </c>
      <c r="C907" s="17"/>
      <c r="D907" s="6"/>
      <c r="E907" s="7" t="str">
        <f>IF($G907="","",INDEX('EDS Lookup'!$F$6:$F$2819,$G907))</f>
        <v/>
      </c>
      <c r="F907" s="8" t="str">
        <f>IF($G907="","",INDEX('EDS Lookup'!$G$6:$G$2819,$G907))</f>
        <v/>
      </c>
      <c r="G907" t="str">
        <f>IF(884&lt;=$B$4,IFERROR(MATCH(884,'EDS Lookup'!$H$6:$H$2819,0),""),"")</f>
        <v/>
      </c>
      <c r="H907" t="str">
        <f t="shared" si="13"/>
        <v/>
      </c>
    </row>
    <row r="908" spans="1:8" ht="19.95" customHeight="1">
      <c r="A908" s="5" t="str">
        <f>IF($G908="","",INDEX('EDS Lookup'!$D$6:$D$2819,$G908))</f>
        <v/>
      </c>
      <c r="B908" s="5" t="str">
        <f>IF($G908="","",INDEX('EDS Lookup'!$B$6:$B$2819,$G908))</f>
        <v/>
      </c>
      <c r="C908" s="17"/>
      <c r="D908" s="6"/>
      <c r="E908" s="7" t="str">
        <f>IF($G908="","",INDEX('EDS Lookup'!$F$6:$F$2819,$G908))</f>
        <v/>
      </c>
      <c r="F908" s="8" t="str">
        <f>IF($G908="","",INDEX('EDS Lookup'!$G$6:$G$2819,$G908))</f>
        <v/>
      </c>
      <c r="G908" t="str">
        <f>IF(885&lt;=$B$4,IFERROR(MATCH(885,'EDS Lookup'!$H$6:$H$2819,0),""),"")</f>
        <v/>
      </c>
      <c r="H908" t="str">
        <f t="shared" si="13"/>
        <v/>
      </c>
    </row>
    <row r="909" spans="1:8" ht="19.95" customHeight="1">
      <c r="A909" s="5" t="str">
        <f>IF($G909="","",INDEX('EDS Lookup'!$D$6:$D$2819,$G909))</f>
        <v/>
      </c>
      <c r="B909" s="5" t="str">
        <f>IF($G909="","",INDEX('EDS Lookup'!$B$6:$B$2819,$G909))</f>
        <v/>
      </c>
      <c r="C909" s="17"/>
      <c r="D909" s="6"/>
      <c r="E909" s="7" t="str">
        <f>IF($G909="","",INDEX('EDS Lookup'!$F$6:$F$2819,$G909))</f>
        <v/>
      </c>
      <c r="F909" s="8" t="str">
        <f>IF($G909="","",INDEX('EDS Lookup'!$G$6:$G$2819,$G909))</f>
        <v/>
      </c>
      <c r="G909" t="str">
        <f>IF(886&lt;=$B$4,IFERROR(MATCH(886,'EDS Lookup'!$H$6:$H$2819,0),""),"")</f>
        <v/>
      </c>
      <c r="H909" t="str">
        <f t="shared" si="13"/>
        <v/>
      </c>
    </row>
    <row r="910" spans="1:8" ht="19.95" customHeight="1">
      <c r="A910" s="5" t="str">
        <f>IF($G910="","",INDEX('EDS Lookup'!$D$6:$D$2819,$G910))</f>
        <v/>
      </c>
      <c r="B910" s="5" t="str">
        <f>IF($G910="","",INDEX('EDS Lookup'!$B$6:$B$2819,$G910))</f>
        <v/>
      </c>
      <c r="C910" s="17"/>
      <c r="D910" s="6"/>
      <c r="E910" s="7" t="str">
        <f>IF($G910="","",INDEX('EDS Lookup'!$F$6:$F$2819,$G910))</f>
        <v/>
      </c>
      <c r="F910" s="8" t="str">
        <f>IF($G910="","",INDEX('EDS Lookup'!$G$6:$G$2819,$G910))</f>
        <v/>
      </c>
      <c r="G910" t="str">
        <f>IF(887&lt;=$B$4,IFERROR(MATCH(887,'EDS Lookup'!$H$6:$H$2819,0),""),"")</f>
        <v/>
      </c>
      <c r="H910" t="str">
        <f t="shared" si="13"/>
        <v/>
      </c>
    </row>
    <row r="911" spans="1:8" ht="19.95" customHeight="1">
      <c r="A911" s="5" t="str">
        <f>IF($G911="","",INDEX('EDS Lookup'!$D$6:$D$2819,$G911))</f>
        <v/>
      </c>
      <c r="B911" s="5" t="str">
        <f>IF($G911="","",INDEX('EDS Lookup'!$B$6:$B$2819,$G911))</f>
        <v/>
      </c>
      <c r="C911" s="17"/>
      <c r="D911" s="6"/>
      <c r="E911" s="7" t="str">
        <f>IF($G911="","",INDEX('EDS Lookup'!$F$6:$F$2819,$G911))</f>
        <v/>
      </c>
      <c r="F911" s="8" t="str">
        <f>IF($G911="","",INDEX('EDS Lookup'!$G$6:$G$2819,$G911))</f>
        <v/>
      </c>
      <c r="G911" t="str">
        <f>IF(888&lt;=$B$4,IFERROR(MATCH(888,'EDS Lookup'!$H$6:$H$2819,0),""),"")</f>
        <v/>
      </c>
      <c r="H911" t="str">
        <f t="shared" si="13"/>
        <v/>
      </c>
    </row>
    <row r="912" spans="1:8" ht="19.95" customHeight="1">
      <c r="A912" s="5" t="str">
        <f>IF($G912="","",INDEX('EDS Lookup'!$D$6:$D$2819,$G912))</f>
        <v/>
      </c>
      <c r="B912" s="5" t="str">
        <f>IF($G912="","",INDEX('EDS Lookup'!$B$6:$B$2819,$G912))</f>
        <v/>
      </c>
      <c r="C912" s="17"/>
      <c r="D912" s="6"/>
      <c r="E912" s="7" t="str">
        <f>IF($G912="","",INDEX('EDS Lookup'!$F$6:$F$2819,$G912))</f>
        <v/>
      </c>
      <c r="F912" s="8" t="str">
        <f>IF($G912="","",INDEX('EDS Lookup'!$G$6:$G$2819,$G912))</f>
        <v/>
      </c>
      <c r="G912" t="str">
        <f>IF(889&lt;=$B$4,IFERROR(MATCH(889,'EDS Lookup'!$H$6:$H$2819,0),""),"")</f>
        <v/>
      </c>
      <c r="H912" t="str">
        <f t="shared" si="13"/>
        <v/>
      </c>
    </row>
    <row r="913" spans="1:8" ht="19.95" customHeight="1">
      <c r="A913" s="5" t="str">
        <f>IF($G913="","",INDEX('EDS Lookup'!$D$6:$D$2819,$G913))</f>
        <v/>
      </c>
      <c r="B913" s="5" t="str">
        <f>IF($G913="","",INDEX('EDS Lookup'!$B$6:$B$2819,$G913))</f>
        <v/>
      </c>
      <c r="C913" s="17"/>
      <c r="D913" s="6"/>
      <c r="E913" s="7" t="str">
        <f>IF($G913="","",INDEX('EDS Lookup'!$F$6:$F$2819,$G913))</f>
        <v/>
      </c>
      <c r="F913" s="8" t="str">
        <f>IF($G913="","",INDEX('EDS Lookup'!$G$6:$G$2819,$G913))</f>
        <v/>
      </c>
      <c r="G913" t="str">
        <f>IF(890&lt;=$B$4,IFERROR(MATCH(890,'EDS Lookup'!$H$6:$H$2819,0),""),"")</f>
        <v/>
      </c>
      <c r="H913" t="str">
        <f t="shared" si="13"/>
        <v/>
      </c>
    </row>
    <row r="914" spans="1:8" ht="19.95" customHeight="1">
      <c r="A914" s="5" t="str">
        <f>IF($G914="","",INDEX('EDS Lookup'!$D$6:$D$2819,$G914))</f>
        <v/>
      </c>
      <c r="B914" s="5" t="str">
        <f>IF($G914="","",INDEX('EDS Lookup'!$B$6:$B$2819,$G914))</f>
        <v/>
      </c>
      <c r="C914" s="17"/>
      <c r="D914" s="6"/>
      <c r="E914" s="7" t="str">
        <f>IF($G914="","",INDEX('EDS Lookup'!$F$6:$F$2819,$G914))</f>
        <v/>
      </c>
      <c r="F914" s="8" t="str">
        <f>IF($G914="","",INDEX('EDS Lookup'!$G$6:$G$2819,$G914))</f>
        <v/>
      </c>
      <c r="G914" t="str">
        <f>IF(891&lt;=$B$4,IFERROR(MATCH(891,'EDS Lookup'!$H$6:$H$2819,0),""),"")</f>
        <v/>
      </c>
      <c r="H914" t="str">
        <f t="shared" si="13"/>
        <v/>
      </c>
    </row>
    <row r="915" spans="1:8" ht="19.95" customHeight="1">
      <c r="A915" s="5" t="str">
        <f>IF($G915="","",INDEX('EDS Lookup'!$D$6:$D$2819,$G915))</f>
        <v/>
      </c>
      <c r="B915" s="5" t="str">
        <f>IF($G915="","",INDEX('EDS Lookup'!$B$6:$B$2819,$G915))</f>
        <v/>
      </c>
      <c r="C915" s="17"/>
      <c r="D915" s="6"/>
      <c r="E915" s="7" t="str">
        <f>IF($G915="","",INDEX('EDS Lookup'!$F$6:$F$2819,$G915))</f>
        <v/>
      </c>
      <c r="F915" s="8" t="str">
        <f>IF($G915="","",INDEX('EDS Lookup'!$G$6:$G$2819,$G915))</f>
        <v/>
      </c>
      <c r="G915" t="str">
        <f>IF(892&lt;=$B$4,IFERROR(MATCH(892,'EDS Lookup'!$H$6:$H$2819,0),""),"")</f>
        <v/>
      </c>
      <c r="H915" t="str">
        <f t="shared" si="13"/>
        <v/>
      </c>
    </row>
    <row r="916" spans="1:8" ht="19.95" customHeight="1">
      <c r="A916" s="5" t="str">
        <f>IF($G916="","",INDEX('EDS Lookup'!$D$6:$D$2819,$G916))</f>
        <v/>
      </c>
      <c r="B916" s="5" t="str">
        <f>IF($G916="","",INDEX('EDS Lookup'!$B$6:$B$2819,$G916))</f>
        <v/>
      </c>
      <c r="C916" s="17"/>
      <c r="D916" s="6"/>
      <c r="E916" s="7" t="str">
        <f>IF($G916="","",INDEX('EDS Lookup'!$F$6:$F$2819,$G916))</f>
        <v/>
      </c>
      <c r="F916" s="8" t="str">
        <f>IF($G916="","",INDEX('EDS Lookup'!$G$6:$G$2819,$G916))</f>
        <v/>
      </c>
      <c r="G916" t="str">
        <f>IF(893&lt;=$B$4,IFERROR(MATCH(893,'EDS Lookup'!$H$6:$H$2819,0),""),"")</f>
        <v/>
      </c>
      <c r="H916" t="str">
        <f t="shared" si="13"/>
        <v/>
      </c>
    </row>
    <row r="917" spans="1:8" ht="19.95" customHeight="1">
      <c r="A917" s="5" t="str">
        <f>IF($G917="","",INDEX('EDS Lookup'!$D$6:$D$2819,$G917))</f>
        <v/>
      </c>
      <c r="B917" s="5" t="str">
        <f>IF($G917="","",INDEX('EDS Lookup'!$B$6:$B$2819,$G917))</f>
        <v/>
      </c>
      <c r="C917" s="17"/>
      <c r="D917" s="6"/>
      <c r="E917" s="7" t="str">
        <f>IF($G917="","",INDEX('EDS Lookup'!$F$6:$F$2819,$G917))</f>
        <v/>
      </c>
      <c r="F917" s="8" t="str">
        <f>IF($G917="","",INDEX('EDS Lookup'!$G$6:$G$2819,$G917))</f>
        <v/>
      </c>
      <c r="G917" t="str">
        <f>IF(894&lt;=$B$4,IFERROR(MATCH(894,'EDS Lookup'!$H$6:$H$2819,0),""),"")</f>
        <v/>
      </c>
      <c r="H917" t="str">
        <f t="shared" si="13"/>
        <v/>
      </c>
    </row>
    <row r="918" spans="1:8" ht="19.95" customHeight="1">
      <c r="A918" s="5" t="str">
        <f>IF($G918="","",INDEX('EDS Lookup'!$D$6:$D$2819,$G918))</f>
        <v/>
      </c>
      <c r="B918" s="5" t="str">
        <f>IF($G918="","",INDEX('EDS Lookup'!$B$6:$B$2819,$G918))</f>
        <v/>
      </c>
      <c r="C918" s="17"/>
      <c r="D918" s="6"/>
      <c r="E918" s="7" t="str">
        <f>IF($G918="","",INDEX('EDS Lookup'!$F$6:$F$2819,$G918))</f>
        <v/>
      </c>
      <c r="F918" s="8" t="str">
        <f>IF($G918="","",INDEX('EDS Lookup'!$G$6:$G$2819,$G918))</f>
        <v/>
      </c>
      <c r="G918" t="str">
        <f>IF(895&lt;=$B$4,IFERROR(MATCH(895,'EDS Lookup'!$H$6:$H$2819,0),""),"")</f>
        <v/>
      </c>
      <c r="H918" t="str">
        <f t="shared" si="13"/>
        <v/>
      </c>
    </row>
    <row r="919" spans="1:8" ht="19.95" customHeight="1">
      <c r="A919" s="5" t="str">
        <f>IF($G919="","",INDEX('EDS Lookup'!$D$6:$D$2819,$G919))</f>
        <v/>
      </c>
      <c r="B919" s="5" t="str">
        <f>IF($G919="","",INDEX('EDS Lookup'!$B$6:$B$2819,$G919))</f>
        <v/>
      </c>
      <c r="C919" s="17"/>
      <c r="D919" s="6"/>
      <c r="E919" s="7" t="str">
        <f>IF($G919="","",INDEX('EDS Lookup'!$F$6:$F$2819,$G919))</f>
        <v/>
      </c>
      <c r="F919" s="8" t="str">
        <f>IF($G919="","",INDEX('EDS Lookup'!$G$6:$G$2819,$G919))</f>
        <v/>
      </c>
      <c r="G919" t="str">
        <f>IF(896&lt;=$B$4,IFERROR(MATCH(896,'EDS Lookup'!$H$6:$H$2819,0),""),"")</f>
        <v/>
      </c>
      <c r="H919" t="str">
        <f t="shared" si="13"/>
        <v/>
      </c>
    </row>
    <row r="920" spans="1:8" ht="19.95" customHeight="1">
      <c r="A920" s="5" t="str">
        <f>IF($G920="","",INDEX('EDS Lookup'!$D$6:$D$2819,$G920))</f>
        <v/>
      </c>
      <c r="B920" s="5" t="str">
        <f>IF($G920="","",INDEX('EDS Lookup'!$B$6:$B$2819,$G920))</f>
        <v/>
      </c>
      <c r="C920" s="17"/>
      <c r="D920" s="6"/>
      <c r="E920" s="7" t="str">
        <f>IF($G920="","",INDEX('EDS Lookup'!$F$6:$F$2819,$G920))</f>
        <v/>
      </c>
      <c r="F920" s="8" t="str">
        <f>IF($G920="","",INDEX('EDS Lookup'!$G$6:$G$2819,$G920))</f>
        <v/>
      </c>
      <c r="G920" t="str">
        <f>IF(897&lt;=$B$4,IFERROR(MATCH(897,'EDS Lookup'!$H$6:$H$2819,0),""),"")</f>
        <v/>
      </c>
      <c r="H920" t="str">
        <f t="shared" ref="H920:H983" si="14">IF(F920="&lt;5",5,IF(F920="&gt;95",95,IF(ISNUMBER(F920),F920,"")))</f>
        <v/>
      </c>
    </row>
    <row r="921" spans="1:8" ht="19.95" customHeight="1">
      <c r="A921" s="5" t="str">
        <f>IF($G921="","",INDEX('EDS Lookup'!$D$6:$D$2819,$G921))</f>
        <v/>
      </c>
      <c r="B921" s="5" t="str">
        <f>IF($G921="","",INDEX('EDS Lookup'!$B$6:$B$2819,$G921))</f>
        <v/>
      </c>
      <c r="C921" s="17"/>
      <c r="D921" s="6"/>
      <c r="E921" s="7" t="str">
        <f>IF($G921="","",INDEX('EDS Lookup'!$F$6:$F$2819,$G921))</f>
        <v/>
      </c>
      <c r="F921" s="8" t="str">
        <f>IF($G921="","",INDEX('EDS Lookup'!$G$6:$G$2819,$G921))</f>
        <v/>
      </c>
      <c r="G921" t="str">
        <f>IF(898&lt;=$B$4,IFERROR(MATCH(898,'EDS Lookup'!$H$6:$H$2819,0),""),"")</f>
        <v/>
      </c>
      <c r="H921" t="str">
        <f t="shared" si="14"/>
        <v/>
      </c>
    </row>
    <row r="922" spans="1:8" ht="19.95" customHeight="1">
      <c r="A922" s="5" t="str">
        <f>IF($G922="","",INDEX('EDS Lookup'!$D$6:$D$2819,$G922))</f>
        <v/>
      </c>
      <c r="B922" s="5" t="str">
        <f>IF($G922="","",INDEX('EDS Lookup'!$B$6:$B$2819,$G922))</f>
        <v/>
      </c>
      <c r="C922" s="17"/>
      <c r="D922" s="6"/>
      <c r="E922" s="7" t="str">
        <f>IF($G922="","",INDEX('EDS Lookup'!$F$6:$F$2819,$G922))</f>
        <v/>
      </c>
      <c r="F922" s="8" t="str">
        <f>IF($G922="","",INDEX('EDS Lookup'!$G$6:$G$2819,$G922))</f>
        <v/>
      </c>
      <c r="G922" t="str">
        <f>IF(899&lt;=$B$4,IFERROR(MATCH(899,'EDS Lookup'!$H$6:$H$2819,0),""),"")</f>
        <v/>
      </c>
      <c r="H922" t="str">
        <f t="shared" si="14"/>
        <v/>
      </c>
    </row>
    <row r="923" spans="1:8" ht="19.95" customHeight="1">
      <c r="A923" s="5" t="str">
        <f>IF($G923="","",INDEX('EDS Lookup'!$D$6:$D$2819,$G923))</f>
        <v/>
      </c>
      <c r="B923" s="5" t="str">
        <f>IF($G923="","",INDEX('EDS Lookup'!$B$6:$B$2819,$G923))</f>
        <v/>
      </c>
      <c r="C923" s="17"/>
      <c r="D923" s="6"/>
      <c r="E923" s="7" t="str">
        <f>IF($G923="","",INDEX('EDS Lookup'!$F$6:$F$2819,$G923))</f>
        <v/>
      </c>
      <c r="F923" s="8" t="str">
        <f>IF($G923="","",INDEX('EDS Lookup'!$G$6:$G$2819,$G923))</f>
        <v/>
      </c>
      <c r="G923" t="str">
        <f>IF(900&lt;=$B$4,IFERROR(MATCH(900,'EDS Lookup'!$H$6:$H$2819,0),""),"")</f>
        <v/>
      </c>
      <c r="H923" t="str">
        <f t="shared" si="14"/>
        <v/>
      </c>
    </row>
    <row r="924" spans="1:8" ht="19.95" customHeight="1">
      <c r="A924" s="5" t="str">
        <f>IF($G924="","",INDEX('EDS Lookup'!$D$6:$D$2819,$G924))</f>
        <v/>
      </c>
      <c r="B924" s="5" t="str">
        <f>IF($G924="","",INDEX('EDS Lookup'!$B$6:$B$2819,$G924))</f>
        <v/>
      </c>
      <c r="C924" s="17"/>
      <c r="D924" s="6"/>
      <c r="E924" s="7" t="str">
        <f>IF($G924="","",INDEX('EDS Lookup'!$F$6:$F$2819,$G924))</f>
        <v/>
      </c>
      <c r="F924" s="8" t="str">
        <f>IF($G924="","",INDEX('EDS Lookup'!$G$6:$G$2819,$G924))</f>
        <v/>
      </c>
      <c r="G924" t="str">
        <f>IF(901&lt;=$B$4,IFERROR(MATCH(901,'EDS Lookup'!$H$6:$H$2819,0),""),"")</f>
        <v/>
      </c>
      <c r="H924" t="str">
        <f t="shared" si="14"/>
        <v/>
      </c>
    </row>
    <row r="925" spans="1:8" ht="19.95" customHeight="1">
      <c r="A925" s="5" t="str">
        <f>IF($G925="","",INDEX('EDS Lookup'!$D$6:$D$2819,$G925))</f>
        <v/>
      </c>
      <c r="B925" s="5" t="str">
        <f>IF($G925="","",INDEX('EDS Lookup'!$B$6:$B$2819,$G925))</f>
        <v/>
      </c>
      <c r="C925" s="17"/>
      <c r="D925" s="6"/>
      <c r="E925" s="7" t="str">
        <f>IF($G925="","",INDEX('EDS Lookup'!$F$6:$F$2819,$G925))</f>
        <v/>
      </c>
      <c r="F925" s="8" t="str">
        <f>IF($G925="","",INDEX('EDS Lookup'!$G$6:$G$2819,$G925))</f>
        <v/>
      </c>
      <c r="G925" t="str">
        <f>IF(902&lt;=$B$4,IFERROR(MATCH(902,'EDS Lookup'!$H$6:$H$2819,0),""),"")</f>
        <v/>
      </c>
      <c r="H925" t="str">
        <f t="shared" si="14"/>
        <v/>
      </c>
    </row>
    <row r="926" spans="1:8" ht="19.95" customHeight="1">
      <c r="A926" s="5" t="str">
        <f>IF($G926="","",INDEX('EDS Lookup'!$D$6:$D$2819,$G926))</f>
        <v/>
      </c>
      <c r="B926" s="5" t="str">
        <f>IF($G926="","",INDEX('EDS Lookup'!$B$6:$B$2819,$G926))</f>
        <v/>
      </c>
      <c r="C926" s="17"/>
      <c r="D926" s="6"/>
      <c r="E926" s="7" t="str">
        <f>IF($G926="","",INDEX('EDS Lookup'!$F$6:$F$2819,$G926))</f>
        <v/>
      </c>
      <c r="F926" s="8" t="str">
        <f>IF($G926="","",INDEX('EDS Lookup'!$G$6:$G$2819,$G926))</f>
        <v/>
      </c>
      <c r="G926" t="str">
        <f>IF(903&lt;=$B$4,IFERROR(MATCH(903,'EDS Lookup'!$H$6:$H$2819,0),""),"")</f>
        <v/>
      </c>
      <c r="H926" t="str">
        <f t="shared" si="14"/>
        <v/>
      </c>
    </row>
    <row r="927" spans="1:8" ht="19.95" customHeight="1">
      <c r="A927" s="5" t="str">
        <f>IF($G927="","",INDEX('EDS Lookup'!$D$6:$D$2819,$G927))</f>
        <v/>
      </c>
      <c r="B927" s="5" t="str">
        <f>IF($G927="","",INDEX('EDS Lookup'!$B$6:$B$2819,$G927))</f>
        <v/>
      </c>
      <c r="C927" s="17"/>
      <c r="D927" s="6"/>
      <c r="E927" s="7" t="str">
        <f>IF($G927="","",INDEX('EDS Lookup'!$F$6:$F$2819,$G927))</f>
        <v/>
      </c>
      <c r="F927" s="8" t="str">
        <f>IF($G927="","",INDEX('EDS Lookup'!$G$6:$G$2819,$G927))</f>
        <v/>
      </c>
      <c r="G927" t="str">
        <f>IF(904&lt;=$B$4,IFERROR(MATCH(904,'EDS Lookup'!$H$6:$H$2819,0),""),"")</f>
        <v/>
      </c>
      <c r="H927" t="str">
        <f t="shared" si="14"/>
        <v/>
      </c>
    </row>
    <row r="928" spans="1:8" ht="19.95" customHeight="1">
      <c r="A928" s="5" t="str">
        <f>IF($G928="","",INDEX('EDS Lookup'!$D$6:$D$2819,$G928))</f>
        <v/>
      </c>
      <c r="B928" s="5" t="str">
        <f>IF($G928="","",INDEX('EDS Lookup'!$B$6:$B$2819,$G928))</f>
        <v/>
      </c>
      <c r="C928" s="17"/>
      <c r="D928" s="6"/>
      <c r="E928" s="7" t="str">
        <f>IF($G928="","",INDEX('EDS Lookup'!$F$6:$F$2819,$G928))</f>
        <v/>
      </c>
      <c r="F928" s="8" t="str">
        <f>IF($G928="","",INDEX('EDS Lookup'!$G$6:$G$2819,$G928))</f>
        <v/>
      </c>
      <c r="G928" t="str">
        <f>IF(905&lt;=$B$4,IFERROR(MATCH(905,'EDS Lookup'!$H$6:$H$2819,0),""),"")</f>
        <v/>
      </c>
      <c r="H928" t="str">
        <f t="shared" si="14"/>
        <v/>
      </c>
    </row>
    <row r="929" spans="1:8" ht="19.95" customHeight="1">
      <c r="A929" s="5" t="str">
        <f>IF($G929="","",INDEX('EDS Lookup'!$D$6:$D$2819,$G929))</f>
        <v/>
      </c>
      <c r="B929" s="5" t="str">
        <f>IF($G929="","",INDEX('EDS Lookup'!$B$6:$B$2819,$G929))</f>
        <v/>
      </c>
      <c r="C929" s="17"/>
      <c r="D929" s="6"/>
      <c r="E929" s="7" t="str">
        <f>IF($G929="","",INDEX('EDS Lookup'!$F$6:$F$2819,$G929))</f>
        <v/>
      </c>
      <c r="F929" s="8" t="str">
        <f>IF($G929="","",INDEX('EDS Lookup'!$G$6:$G$2819,$G929))</f>
        <v/>
      </c>
      <c r="G929" t="str">
        <f>IF(906&lt;=$B$4,IFERROR(MATCH(906,'EDS Lookup'!$H$6:$H$2819,0),""),"")</f>
        <v/>
      </c>
      <c r="H929" t="str">
        <f t="shared" si="14"/>
        <v/>
      </c>
    </row>
    <row r="930" spans="1:8" ht="19.95" customHeight="1">
      <c r="A930" s="5" t="str">
        <f>IF($G930="","",INDEX('EDS Lookup'!$D$6:$D$2819,$G930))</f>
        <v/>
      </c>
      <c r="B930" s="5" t="str">
        <f>IF($G930="","",INDEX('EDS Lookup'!$B$6:$B$2819,$G930))</f>
        <v/>
      </c>
      <c r="C930" s="17"/>
      <c r="D930" s="6"/>
      <c r="E930" s="7" t="str">
        <f>IF($G930="","",INDEX('EDS Lookup'!$F$6:$F$2819,$G930))</f>
        <v/>
      </c>
      <c r="F930" s="8" t="str">
        <f>IF($G930="","",INDEX('EDS Lookup'!$G$6:$G$2819,$G930))</f>
        <v/>
      </c>
      <c r="G930" t="str">
        <f>IF(907&lt;=$B$4,IFERROR(MATCH(907,'EDS Lookup'!$H$6:$H$2819,0),""),"")</f>
        <v/>
      </c>
      <c r="H930" t="str">
        <f t="shared" si="14"/>
        <v/>
      </c>
    </row>
    <row r="931" spans="1:8" ht="19.95" customHeight="1">
      <c r="A931" s="5" t="str">
        <f>IF($G931="","",INDEX('EDS Lookup'!$D$6:$D$2819,$G931))</f>
        <v/>
      </c>
      <c r="B931" s="5" t="str">
        <f>IF($G931="","",INDEX('EDS Lookup'!$B$6:$B$2819,$G931))</f>
        <v/>
      </c>
      <c r="C931" s="17"/>
      <c r="D931" s="6"/>
      <c r="E931" s="7" t="str">
        <f>IF($G931="","",INDEX('EDS Lookup'!$F$6:$F$2819,$G931))</f>
        <v/>
      </c>
      <c r="F931" s="8" t="str">
        <f>IF($G931="","",INDEX('EDS Lookup'!$G$6:$G$2819,$G931))</f>
        <v/>
      </c>
      <c r="G931" t="str">
        <f>IF(908&lt;=$B$4,IFERROR(MATCH(908,'EDS Lookup'!$H$6:$H$2819,0),""),"")</f>
        <v/>
      </c>
      <c r="H931" t="str">
        <f t="shared" si="14"/>
        <v/>
      </c>
    </row>
    <row r="932" spans="1:8" ht="19.95" customHeight="1">
      <c r="A932" s="5" t="str">
        <f>IF($G932="","",INDEX('EDS Lookup'!$D$6:$D$2819,$G932))</f>
        <v/>
      </c>
      <c r="B932" s="5" t="str">
        <f>IF($G932="","",INDEX('EDS Lookup'!$B$6:$B$2819,$G932))</f>
        <v/>
      </c>
      <c r="C932" s="17"/>
      <c r="D932" s="6"/>
      <c r="E932" s="7" t="str">
        <f>IF($G932="","",INDEX('EDS Lookup'!$F$6:$F$2819,$G932))</f>
        <v/>
      </c>
      <c r="F932" s="8" t="str">
        <f>IF($G932="","",INDEX('EDS Lookup'!$G$6:$G$2819,$G932))</f>
        <v/>
      </c>
      <c r="G932" t="str">
        <f>IF(909&lt;=$B$4,IFERROR(MATCH(909,'EDS Lookup'!$H$6:$H$2819,0),""),"")</f>
        <v/>
      </c>
      <c r="H932" t="str">
        <f t="shared" si="14"/>
        <v/>
      </c>
    </row>
    <row r="933" spans="1:8" ht="19.95" customHeight="1">
      <c r="A933" s="5" t="str">
        <f>IF($G933="","",INDEX('EDS Lookup'!$D$6:$D$2819,$G933))</f>
        <v/>
      </c>
      <c r="B933" s="5" t="str">
        <f>IF($G933="","",INDEX('EDS Lookup'!$B$6:$B$2819,$G933))</f>
        <v/>
      </c>
      <c r="C933" s="17"/>
      <c r="D933" s="6"/>
      <c r="E933" s="7" t="str">
        <f>IF($G933="","",INDEX('EDS Lookup'!$F$6:$F$2819,$G933))</f>
        <v/>
      </c>
      <c r="F933" s="8" t="str">
        <f>IF($G933="","",INDEX('EDS Lookup'!$G$6:$G$2819,$G933))</f>
        <v/>
      </c>
      <c r="G933" t="str">
        <f>IF(910&lt;=$B$4,IFERROR(MATCH(910,'EDS Lookup'!$H$6:$H$2819,0),""),"")</f>
        <v/>
      </c>
      <c r="H933" t="str">
        <f t="shared" si="14"/>
        <v/>
      </c>
    </row>
    <row r="934" spans="1:8" ht="19.95" customHeight="1">
      <c r="A934" s="5" t="str">
        <f>IF($G934="","",INDEX('EDS Lookup'!$D$6:$D$2819,$G934))</f>
        <v/>
      </c>
      <c r="B934" s="5" t="str">
        <f>IF($G934="","",INDEX('EDS Lookup'!$B$6:$B$2819,$G934))</f>
        <v/>
      </c>
      <c r="C934" s="17"/>
      <c r="D934" s="6"/>
      <c r="E934" s="7" t="str">
        <f>IF($G934="","",INDEX('EDS Lookup'!$F$6:$F$2819,$G934))</f>
        <v/>
      </c>
      <c r="F934" s="8" t="str">
        <f>IF($G934="","",INDEX('EDS Lookup'!$G$6:$G$2819,$G934))</f>
        <v/>
      </c>
      <c r="G934" t="str">
        <f>IF(911&lt;=$B$4,IFERROR(MATCH(911,'EDS Lookup'!$H$6:$H$2819,0),""),"")</f>
        <v/>
      </c>
      <c r="H934" t="str">
        <f t="shared" si="14"/>
        <v/>
      </c>
    </row>
    <row r="935" spans="1:8" ht="19.95" customHeight="1">
      <c r="A935" s="5" t="str">
        <f>IF($G935="","",INDEX('EDS Lookup'!$D$6:$D$2819,$G935))</f>
        <v/>
      </c>
      <c r="B935" s="5" t="str">
        <f>IF($G935="","",INDEX('EDS Lookup'!$B$6:$B$2819,$G935))</f>
        <v/>
      </c>
      <c r="C935" s="17"/>
      <c r="D935" s="6"/>
      <c r="E935" s="7" t="str">
        <f>IF($G935="","",INDEX('EDS Lookup'!$F$6:$F$2819,$G935))</f>
        <v/>
      </c>
      <c r="F935" s="8" t="str">
        <f>IF($G935="","",INDEX('EDS Lookup'!$G$6:$G$2819,$G935))</f>
        <v/>
      </c>
      <c r="G935" t="str">
        <f>IF(912&lt;=$B$4,IFERROR(MATCH(912,'EDS Lookup'!$H$6:$H$2819,0),""),"")</f>
        <v/>
      </c>
      <c r="H935" t="str">
        <f t="shared" si="14"/>
        <v/>
      </c>
    </row>
    <row r="936" spans="1:8" ht="19.95" customHeight="1">
      <c r="A936" s="5" t="str">
        <f>IF($G936="","",INDEX('EDS Lookup'!$D$6:$D$2819,$G936))</f>
        <v/>
      </c>
      <c r="B936" s="5" t="str">
        <f>IF($G936="","",INDEX('EDS Lookup'!$B$6:$B$2819,$G936))</f>
        <v/>
      </c>
      <c r="C936" s="17"/>
      <c r="D936" s="6"/>
      <c r="E936" s="7" t="str">
        <f>IF($G936="","",INDEX('EDS Lookup'!$F$6:$F$2819,$G936))</f>
        <v/>
      </c>
      <c r="F936" s="8" t="str">
        <f>IF($G936="","",INDEX('EDS Lookup'!$G$6:$G$2819,$G936))</f>
        <v/>
      </c>
      <c r="G936" t="str">
        <f>IF(913&lt;=$B$4,IFERROR(MATCH(913,'EDS Lookup'!$H$6:$H$2819,0),""),"")</f>
        <v/>
      </c>
      <c r="H936" t="str">
        <f t="shared" si="14"/>
        <v/>
      </c>
    </row>
    <row r="937" spans="1:8" ht="19.95" customHeight="1">
      <c r="A937" s="5" t="str">
        <f>IF($G937="","",INDEX('EDS Lookup'!$D$6:$D$2819,$G937))</f>
        <v/>
      </c>
      <c r="B937" s="5" t="str">
        <f>IF($G937="","",INDEX('EDS Lookup'!$B$6:$B$2819,$G937))</f>
        <v/>
      </c>
      <c r="C937" s="17"/>
      <c r="D937" s="6"/>
      <c r="E937" s="7" t="str">
        <f>IF($G937="","",INDEX('EDS Lookup'!$F$6:$F$2819,$G937))</f>
        <v/>
      </c>
      <c r="F937" s="8" t="str">
        <f>IF($G937="","",INDEX('EDS Lookup'!$G$6:$G$2819,$G937))</f>
        <v/>
      </c>
      <c r="G937" t="str">
        <f>IF(914&lt;=$B$4,IFERROR(MATCH(914,'EDS Lookup'!$H$6:$H$2819,0),""),"")</f>
        <v/>
      </c>
      <c r="H937" t="str">
        <f t="shared" si="14"/>
        <v/>
      </c>
    </row>
    <row r="938" spans="1:8" ht="19.95" customHeight="1">
      <c r="A938" s="5" t="str">
        <f>IF($G938="","",INDEX('EDS Lookup'!$D$6:$D$2819,$G938))</f>
        <v/>
      </c>
      <c r="B938" s="5" t="str">
        <f>IF($G938="","",INDEX('EDS Lookup'!$B$6:$B$2819,$G938))</f>
        <v/>
      </c>
      <c r="C938" s="17"/>
      <c r="D938" s="6"/>
      <c r="E938" s="7" t="str">
        <f>IF($G938="","",INDEX('EDS Lookup'!$F$6:$F$2819,$G938))</f>
        <v/>
      </c>
      <c r="F938" s="8" t="str">
        <f>IF($G938="","",INDEX('EDS Lookup'!$G$6:$G$2819,$G938))</f>
        <v/>
      </c>
      <c r="G938" t="str">
        <f>IF(915&lt;=$B$4,IFERROR(MATCH(915,'EDS Lookup'!$H$6:$H$2819,0),""),"")</f>
        <v/>
      </c>
      <c r="H938" t="str">
        <f t="shared" si="14"/>
        <v/>
      </c>
    </row>
    <row r="939" spans="1:8" ht="19.95" customHeight="1">
      <c r="A939" s="5" t="str">
        <f>IF($G939="","",INDEX('EDS Lookup'!$D$6:$D$2819,$G939))</f>
        <v/>
      </c>
      <c r="B939" s="5" t="str">
        <f>IF($G939="","",INDEX('EDS Lookup'!$B$6:$B$2819,$G939))</f>
        <v/>
      </c>
      <c r="C939" s="17"/>
      <c r="D939" s="6"/>
      <c r="E939" s="7" t="str">
        <f>IF($G939="","",INDEX('EDS Lookup'!$F$6:$F$2819,$G939))</f>
        <v/>
      </c>
      <c r="F939" s="8" t="str">
        <f>IF($G939="","",INDEX('EDS Lookup'!$G$6:$G$2819,$G939))</f>
        <v/>
      </c>
      <c r="G939" t="str">
        <f>IF(916&lt;=$B$4,IFERROR(MATCH(916,'EDS Lookup'!$H$6:$H$2819,0),""),"")</f>
        <v/>
      </c>
      <c r="H939" t="str">
        <f t="shared" si="14"/>
        <v/>
      </c>
    </row>
    <row r="940" spans="1:8" ht="19.95" customHeight="1">
      <c r="A940" s="5" t="str">
        <f>IF($G940="","",INDEX('EDS Lookup'!$D$6:$D$2819,$G940))</f>
        <v/>
      </c>
      <c r="B940" s="5" t="str">
        <f>IF($G940="","",INDEX('EDS Lookup'!$B$6:$B$2819,$G940))</f>
        <v/>
      </c>
      <c r="C940" s="17"/>
      <c r="D940" s="6"/>
      <c r="E940" s="7" t="str">
        <f>IF($G940="","",INDEX('EDS Lookup'!$F$6:$F$2819,$G940))</f>
        <v/>
      </c>
      <c r="F940" s="8" t="str">
        <f>IF($G940="","",INDEX('EDS Lookup'!$G$6:$G$2819,$G940))</f>
        <v/>
      </c>
      <c r="G940" t="str">
        <f>IF(917&lt;=$B$4,IFERROR(MATCH(917,'EDS Lookup'!$H$6:$H$2819,0),""),"")</f>
        <v/>
      </c>
      <c r="H940" t="str">
        <f t="shared" si="14"/>
        <v/>
      </c>
    </row>
    <row r="941" spans="1:8" ht="19.95" customHeight="1">
      <c r="A941" s="5" t="str">
        <f>IF($G941="","",INDEX('EDS Lookup'!$D$6:$D$2819,$G941))</f>
        <v/>
      </c>
      <c r="B941" s="5" t="str">
        <f>IF($G941="","",INDEX('EDS Lookup'!$B$6:$B$2819,$G941))</f>
        <v/>
      </c>
      <c r="C941" s="17"/>
      <c r="D941" s="6"/>
      <c r="E941" s="7" t="str">
        <f>IF($G941="","",INDEX('EDS Lookup'!$F$6:$F$2819,$G941))</f>
        <v/>
      </c>
      <c r="F941" s="8" t="str">
        <f>IF($G941="","",INDEX('EDS Lookup'!$G$6:$G$2819,$G941))</f>
        <v/>
      </c>
      <c r="G941" t="str">
        <f>IF(918&lt;=$B$4,IFERROR(MATCH(918,'EDS Lookup'!$H$6:$H$2819,0),""),"")</f>
        <v/>
      </c>
      <c r="H941" t="str">
        <f t="shared" si="14"/>
        <v/>
      </c>
    </row>
    <row r="942" spans="1:8" ht="19.95" customHeight="1">
      <c r="A942" s="5" t="str">
        <f>IF($G942="","",INDEX('EDS Lookup'!$D$6:$D$2819,$G942))</f>
        <v/>
      </c>
      <c r="B942" s="5" t="str">
        <f>IF($G942="","",INDEX('EDS Lookup'!$B$6:$B$2819,$G942))</f>
        <v/>
      </c>
      <c r="C942" s="17"/>
      <c r="D942" s="6"/>
      <c r="E942" s="7" t="str">
        <f>IF($G942="","",INDEX('EDS Lookup'!$F$6:$F$2819,$G942))</f>
        <v/>
      </c>
      <c r="F942" s="8" t="str">
        <f>IF($G942="","",INDEX('EDS Lookup'!$G$6:$G$2819,$G942))</f>
        <v/>
      </c>
      <c r="G942" t="str">
        <f>IF(919&lt;=$B$4,IFERROR(MATCH(919,'EDS Lookup'!$H$6:$H$2819,0),""),"")</f>
        <v/>
      </c>
      <c r="H942" t="str">
        <f t="shared" si="14"/>
        <v/>
      </c>
    </row>
    <row r="943" spans="1:8" ht="19.95" customHeight="1">
      <c r="A943" s="5" t="str">
        <f>IF($G943="","",INDEX('EDS Lookup'!$D$6:$D$2819,$G943))</f>
        <v/>
      </c>
      <c r="B943" s="5" t="str">
        <f>IF($G943="","",INDEX('EDS Lookup'!$B$6:$B$2819,$G943))</f>
        <v/>
      </c>
      <c r="C943" s="17"/>
      <c r="D943" s="6"/>
      <c r="E943" s="7" t="str">
        <f>IF($G943="","",INDEX('EDS Lookup'!$F$6:$F$2819,$G943))</f>
        <v/>
      </c>
      <c r="F943" s="8" t="str">
        <f>IF($G943="","",INDEX('EDS Lookup'!$G$6:$G$2819,$G943))</f>
        <v/>
      </c>
      <c r="G943" t="str">
        <f>IF(920&lt;=$B$4,IFERROR(MATCH(920,'EDS Lookup'!$H$6:$H$2819,0),""),"")</f>
        <v/>
      </c>
      <c r="H943" t="str">
        <f t="shared" si="14"/>
        <v/>
      </c>
    </row>
    <row r="944" spans="1:8" ht="19.95" customHeight="1">
      <c r="A944" s="5" t="str">
        <f>IF($G944="","",INDEX('EDS Lookup'!$D$6:$D$2819,$G944))</f>
        <v/>
      </c>
      <c r="B944" s="5" t="str">
        <f>IF($G944="","",INDEX('EDS Lookup'!$B$6:$B$2819,$G944))</f>
        <v/>
      </c>
      <c r="C944" s="17"/>
      <c r="D944" s="6"/>
      <c r="E944" s="7" t="str">
        <f>IF($G944="","",INDEX('EDS Lookup'!$F$6:$F$2819,$G944))</f>
        <v/>
      </c>
      <c r="F944" s="8" t="str">
        <f>IF($G944="","",INDEX('EDS Lookup'!$G$6:$G$2819,$G944))</f>
        <v/>
      </c>
      <c r="G944" t="str">
        <f>IF(921&lt;=$B$4,IFERROR(MATCH(921,'EDS Lookup'!$H$6:$H$2819,0),""),"")</f>
        <v/>
      </c>
      <c r="H944" t="str">
        <f t="shared" si="14"/>
        <v/>
      </c>
    </row>
    <row r="945" spans="1:8" ht="19.95" customHeight="1">
      <c r="A945" s="5" t="str">
        <f>IF($G945="","",INDEX('EDS Lookup'!$D$6:$D$2819,$G945))</f>
        <v/>
      </c>
      <c r="B945" s="5" t="str">
        <f>IF($G945="","",INDEX('EDS Lookup'!$B$6:$B$2819,$G945))</f>
        <v/>
      </c>
      <c r="C945" s="17"/>
      <c r="D945" s="6"/>
      <c r="E945" s="7" t="str">
        <f>IF($G945="","",INDEX('EDS Lookup'!$F$6:$F$2819,$G945))</f>
        <v/>
      </c>
      <c r="F945" s="8" t="str">
        <f>IF($G945="","",INDEX('EDS Lookup'!$G$6:$G$2819,$G945))</f>
        <v/>
      </c>
      <c r="G945" t="str">
        <f>IF(922&lt;=$B$4,IFERROR(MATCH(922,'EDS Lookup'!$H$6:$H$2819,0),""),"")</f>
        <v/>
      </c>
      <c r="H945" t="str">
        <f t="shared" si="14"/>
        <v/>
      </c>
    </row>
    <row r="946" spans="1:8" ht="19.95" customHeight="1">
      <c r="A946" s="5" t="str">
        <f>IF($G946="","",INDEX('EDS Lookup'!$D$6:$D$2819,$G946))</f>
        <v/>
      </c>
      <c r="B946" s="5" t="str">
        <f>IF($G946="","",INDEX('EDS Lookup'!$B$6:$B$2819,$G946))</f>
        <v/>
      </c>
      <c r="C946" s="17"/>
      <c r="D946" s="6"/>
      <c r="E946" s="7" t="str">
        <f>IF($G946="","",INDEX('EDS Lookup'!$F$6:$F$2819,$G946))</f>
        <v/>
      </c>
      <c r="F946" s="8" t="str">
        <f>IF($G946="","",INDEX('EDS Lookup'!$G$6:$G$2819,$G946))</f>
        <v/>
      </c>
      <c r="G946" t="str">
        <f>IF(923&lt;=$B$4,IFERROR(MATCH(923,'EDS Lookup'!$H$6:$H$2819,0),""),"")</f>
        <v/>
      </c>
      <c r="H946" t="str">
        <f t="shared" si="14"/>
        <v/>
      </c>
    </row>
    <row r="947" spans="1:8" ht="19.95" customHeight="1">
      <c r="A947" s="5" t="str">
        <f>IF($G947="","",INDEX('EDS Lookup'!$D$6:$D$2819,$G947))</f>
        <v/>
      </c>
      <c r="B947" s="5" t="str">
        <f>IF($G947="","",INDEX('EDS Lookup'!$B$6:$B$2819,$G947))</f>
        <v/>
      </c>
      <c r="C947" s="17"/>
      <c r="D947" s="6"/>
      <c r="E947" s="7" t="str">
        <f>IF($G947="","",INDEX('EDS Lookup'!$F$6:$F$2819,$G947))</f>
        <v/>
      </c>
      <c r="F947" s="8" t="str">
        <f>IF($G947="","",INDEX('EDS Lookup'!$G$6:$G$2819,$G947))</f>
        <v/>
      </c>
      <c r="G947" t="str">
        <f>IF(924&lt;=$B$4,IFERROR(MATCH(924,'EDS Lookup'!$H$6:$H$2819,0),""),"")</f>
        <v/>
      </c>
      <c r="H947" t="str">
        <f t="shared" si="14"/>
        <v/>
      </c>
    </row>
    <row r="948" spans="1:8" ht="19.95" customHeight="1">
      <c r="A948" s="5" t="str">
        <f>IF($G948="","",INDEX('EDS Lookup'!$D$6:$D$2819,$G948))</f>
        <v/>
      </c>
      <c r="B948" s="5" t="str">
        <f>IF($G948="","",INDEX('EDS Lookup'!$B$6:$B$2819,$G948))</f>
        <v/>
      </c>
      <c r="C948" s="17"/>
      <c r="D948" s="6"/>
      <c r="E948" s="7" t="str">
        <f>IF($G948="","",INDEX('EDS Lookup'!$F$6:$F$2819,$G948))</f>
        <v/>
      </c>
      <c r="F948" s="8" t="str">
        <f>IF($G948="","",INDEX('EDS Lookup'!$G$6:$G$2819,$G948))</f>
        <v/>
      </c>
      <c r="G948" t="str">
        <f>IF(925&lt;=$B$4,IFERROR(MATCH(925,'EDS Lookup'!$H$6:$H$2819,0),""),"")</f>
        <v/>
      </c>
      <c r="H948" t="str">
        <f t="shared" si="14"/>
        <v/>
      </c>
    </row>
    <row r="949" spans="1:8" ht="19.95" customHeight="1">
      <c r="A949" s="5" t="str">
        <f>IF($G949="","",INDEX('EDS Lookup'!$D$6:$D$2819,$G949))</f>
        <v/>
      </c>
      <c r="B949" s="5" t="str">
        <f>IF($G949="","",INDEX('EDS Lookup'!$B$6:$B$2819,$G949))</f>
        <v/>
      </c>
      <c r="C949" s="17"/>
      <c r="D949" s="6"/>
      <c r="E949" s="7" t="str">
        <f>IF($G949="","",INDEX('EDS Lookup'!$F$6:$F$2819,$G949))</f>
        <v/>
      </c>
      <c r="F949" s="8" t="str">
        <f>IF($G949="","",INDEX('EDS Lookup'!$G$6:$G$2819,$G949))</f>
        <v/>
      </c>
      <c r="G949" t="str">
        <f>IF(926&lt;=$B$4,IFERROR(MATCH(926,'EDS Lookup'!$H$6:$H$2819,0),""),"")</f>
        <v/>
      </c>
      <c r="H949" t="str">
        <f t="shared" si="14"/>
        <v/>
      </c>
    </row>
    <row r="950" spans="1:8" ht="19.95" customHeight="1">
      <c r="A950" s="5" t="str">
        <f>IF($G950="","",INDEX('EDS Lookup'!$D$6:$D$2819,$G950))</f>
        <v/>
      </c>
      <c r="B950" s="5" t="str">
        <f>IF($G950="","",INDEX('EDS Lookup'!$B$6:$B$2819,$G950))</f>
        <v/>
      </c>
      <c r="C950" s="17"/>
      <c r="D950" s="6"/>
      <c r="E950" s="7" t="str">
        <f>IF($G950="","",INDEX('EDS Lookup'!$F$6:$F$2819,$G950))</f>
        <v/>
      </c>
      <c r="F950" s="8" t="str">
        <f>IF($G950="","",INDEX('EDS Lookup'!$G$6:$G$2819,$G950))</f>
        <v/>
      </c>
      <c r="G950" t="str">
        <f>IF(927&lt;=$B$4,IFERROR(MATCH(927,'EDS Lookup'!$H$6:$H$2819,0),""),"")</f>
        <v/>
      </c>
      <c r="H950" t="str">
        <f t="shared" si="14"/>
        <v/>
      </c>
    </row>
    <row r="951" spans="1:8" ht="19.95" customHeight="1">
      <c r="A951" s="5" t="str">
        <f>IF($G951="","",INDEX('EDS Lookup'!$D$6:$D$2819,$G951))</f>
        <v/>
      </c>
      <c r="B951" s="5" t="str">
        <f>IF($G951="","",INDEX('EDS Lookup'!$B$6:$B$2819,$G951))</f>
        <v/>
      </c>
      <c r="C951" s="17"/>
      <c r="D951" s="6"/>
      <c r="E951" s="7" t="str">
        <f>IF($G951="","",INDEX('EDS Lookup'!$F$6:$F$2819,$G951))</f>
        <v/>
      </c>
      <c r="F951" s="8" t="str">
        <f>IF($G951="","",INDEX('EDS Lookup'!$G$6:$G$2819,$G951))</f>
        <v/>
      </c>
      <c r="G951" t="str">
        <f>IF(928&lt;=$B$4,IFERROR(MATCH(928,'EDS Lookup'!$H$6:$H$2819,0),""),"")</f>
        <v/>
      </c>
      <c r="H951" t="str">
        <f t="shared" si="14"/>
        <v/>
      </c>
    </row>
    <row r="952" spans="1:8" ht="19.95" customHeight="1">
      <c r="A952" s="5" t="str">
        <f>IF($G952="","",INDEX('EDS Lookup'!$D$6:$D$2819,$G952))</f>
        <v/>
      </c>
      <c r="B952" s="5" t="str">
        <f>IF($G952="","",INDEX('EDS Lookup'!$B$6:$B$2819,$G952))</f>
        <v/>
      </c>
      <c r="C952" s="17"/>
      <c r="D952" s="6"/>
      <c r="E952" s="7" t="str">
        <f>IF($G952="","",INDEX('EDS Lookup'!$F$6:$F$2819,$G952))</f>
        <v/>
      </c>
      <c r="F952" s="8" t="str">
        <f>IF($G952="","",INDEX('EDS Lookup'!$G$6:$G$2819,$G952))</f>
        <v/>
      </c>
      <c r="G952" t="str">
        <f>IF(929&lt;=$B$4,IFERROR(MATCH(929,'EDS Lookup'!$H$6:$H$2819,0),""),"")</f>
        <v/>
      </c>
      <c r="H952" t="str">
        <f t="shared" si="14"/>
        <v/>
      </c>
    </row>
    <row r="953" spans="1:8" ht="19.95" customHeight="1">
      <c r="A953" s="5" t="str">
        <f>IF($G953="","",INDEX('EDS Lookup'!$D$6:$D$2819,$G953))</f>
        <v/>
      </c>
      <c r="B953" s="5" t="str">
        <f>IF($G953="","",INDEX('EDS Lookup'!$B$6:$B$2819,$G953))</f>
        <v/>
      </c>
      <c r="C953" s="17"/>
      <c r="D953" s="6"/>
      <c r="E953" s="7" t="str">
        <f>IF($G953="","",INDEX('EDS Lookup'!$F$6:$F$2819,$G953))</f>
        <v/>
      </c>
      <c r="F953" s="8" t="str">
        <f>IF($G953="","",INDEX('EDS Lookup'!$G$6:$G$2819,$G953))</f>
        <v/>
      </c>
      <c r="G953" t="str">
        <f>IF(930&lt;=$B$4,IFERROR(MATCH(930,'EDS Lookup'!$H$6:$H$2819,0),""),"")</f>
        <v/>
      </c>
      <c r="H953" t="str">
        <f t="shared" si="14"/>
        <v/>
      </c>
    </row>
    <row r="954" spans="1:8" ht="19.95" customHeight="1">
      <c r="A954" s="5" t="str">
        <f>IF($G954="","",INDEX('EDS Lookup'!$D$6:$D$2819,$G954))</f>
        <v/>
      </c>
      <c r="B954" s="5" t="str">
        <f>IF($G954="","",INDEX('EDS Lookup'!$B$6:$B$2819,$G954))</f>
        <v/>
      </c>
      <c r="C954" s="17"/>
      <c r="D954" s="6"/>
      <c r="E954" s="7" t="str">
        <f>IF($G954="","",INDEX('EDS Lookup'!$F$6:$F$2819,$G954))</f>
        <v/>
      </c>
      <c r="F954" s="8" t="str">
        <f>IF($G954="","",INDEX('EDS Lookup'!$G$6:$G$2819,$G954))</f>
        <v/>
      </c>
      <c r="G954" t="str">
        <f>IF(931&lt;=$B$4,IFERROR(MATCH(931,'EDS Lookup'!$H$6:$H$2819,0),""),"")</f>
        <v/>
      </c>
      <c r="H954" t="str">
        <f t="shared" si="14"/>
        <v/>
      </c>
    </row>
    <row r="955" spans="1:8" ht="19.95" customHeight="1">
      <c r="A955" s="5" t="str">
        <f>IF($G955="","",INDEX('EDS Lookup'!$D$6:$D$2819,$G955))</f>
        <v/>
      </c>
      <c r="B955" s="5" t="str">
        <f>IF($G955="","",INDEX('EDS Lookup'!$B$6:$B$2819,$G955))</f>
        <v/>
      </c>
      <c r="C955" s="17"/>
      <c r="D955" s="6"/>
      <c r="E955" s="7" t="str">
        <f>IF($G955="","",INDEX('EDS Lookup'!$F$6:$F$2819,$G955))</f>
        <v/>
      </c>
      <c r="F955" s="8" t="str">
        <f>IF($G955="","",INDEX('EDS Lookup'!$G$6:$G$2819,$G955))</f>
        <v/>
      </c>
      <c r="G955" t="str">
        <f>IF(932&lt;=$B$4,IFERROR(MATCH(932,'EDS Lookup'!$H$6:$H$2819,0),""),"")</f>
        <v/>
      </c>
      <c r="H955" t="str">
        <f t="shared" si="14"/>
        <v/>
      </c>
    </row>
    <row r="956" spans="1:8" ht="19.95" customHeight="1">
      <c r="A956" s="5" t="str">
        <f>IF($G956="","",INDEX('EDS Lookup'!$D$6:$D$2819,$G956))</f>
        <v/>
      </c>
      <c r="B956" s="5" t="str">
        <f>IF($G956="","",INDEX('EDS Lookup'!$B$6:$B$2819,$G956))</f>
        <v/>
      </c>
      <c r="C956" s="17"/>
      <c r="D956" s="6"/>
      <c r="E956" s="7" t="str">
        <f>IF($G956="","",INDEX('EDS Lookup'!$F$6:$F$2819,$G956))</f>
        <v/>
      </c>
      <c r="F956" s="8" t="str">
        <f>IF($G956="","",INDEX('EDS Lookup'!$G$6:$G$2819,$G956))</f>
        <v/>
      </c>
      <c r="G956" t="str">
        <f>IF(933&lt;=$B$4,IFERROR(MATCH(933,'EDS Lookup'!$H$6:$H$2819,0),""),"")</f>
        <v/>
      </c>
      <c r="H956" t="str">
        <f t="shared" si="14"/>
        <v/>
      </c>
    </row>
    <row r="957" spans="1:8" ht="19.95" customHeight="1">
      <c r="A957" s="5" t="str">
        <f>IF($G957="","",INDEX('EDS Lookup'!$D$6:$D$2819,$G957))</f>
        <v/>
      </c>
      <c r="B957" s="5" t="str">
        <f>IF($G957="","",INDEX('EDS Lookup'!$B$6:$B$2819,$G957))</f>
        <v/>
      </c>
      <c r="C957" s="17"/>
      <c r="D957" s="6"/>
      <c r="E957" s="7" t="str">
        <f>IF($G957="","",INDEX('EDS Lookup'!$F$6:$F$2819,$G957))</f>
        <v/>
      </c>
      <c r="F957" s="8" t="str">
        <f>IF($G957="","",INDEX('EDS Lookup'!$G$6:$G$2819,$G957))</f>
        <v/>
      </c>
      <c r="G957" t="str">
        <f>IF(934&lt;=$B$4,IFERROR(MATCH(934,'EDS Lookup'!$H$6:$H$2819,0),""),"")</f>
        <v/>
      </c>
      <c r="H957" t="str">
        <f t="shared" si="14"/>
        <v/>
      </c>
    </row>
    <row r="958" spans="1:8" ht="19.95" customHeight="1">
      <c r="A958" s="5" t="str">
        <f>IF($G958="","",INDEX('EDS Lookup'!$D$6:$D$2819,$G958))</f>
        <v/>
      </c>
      <c r="B958" s="5" t="str">
        <f>IF($G958="","",INDEX('EDS Lookup'!$B$6:$B$2819,$G958))</f>
        <v/>
      </c>
      <c r="C958" s="17"/>
      <c r="D958" s="6"/>
      <c r="E958" s="7" t="str">
        <f>IF($G958="","",INDEX('EDS Lookup'!$F$6:$F$2819,$G958))</f>
        <v/>
      </c>
      <c r="F958" s="8" t="str">
        <f>IF($G958="","",INDEX('EDS Lookup'!$G$6:$G$2819,$G958))</f>
        <v/>
      </c>
      <c r="G958" t="str">
        <f>IF(935&lt;=$B$4,IFERROR(MATCH(935,'EDS Lookup'!$H$6:$H$2819,0),""),"")</f>
        <v/>
      </c>
      <c r="H958" t="str">
        <f t="shared" si="14"/>
        <v/>
      </c>
    </row>
    <row r="959" spans="1:8" ht="19.95" customHeight="1">
      <c r="A959" s="5" t="str">
        <f>IF($G959="","",INDEX('EDS Lookup'!$D$6:$D$2819,$G959))</f>
        <v/>
      </c>
      <c r="B959" s="5" t="str">
        <f>IF($G959="","",INDEX('EDS Lookup'!$B$6:$B$2819,$G959))</f>
        <v/>
      </c>
      <c r="C959" s="17"/>
      <c r="D959" s="6"/>
      <c r="E959" s="7" t="str">
        <f>IF($G959="","",INDEX('EDS Lookup'!$F$6:$F$2819,$G959))</f>
        <v/>
      </c>
      <c r="F959" s="8" t="str">
        <f>IF($G959="","",INDEX('EDS Lookup'!$G$6:$G$2819,$G959))</f>
        <v/>
      </c>
      <c r="G959" t="str">
        <f>IF(936&lt;=$B$4,IFERROR(MATCH(936,'EDS Lookup'!$H$6:$H$2819,0),""),"")</f>
        <v/>
      </c>
      <c r="H959" t="str">
        <f t="shared" si="14"/>
        <v/>
      </c>
    </row>
    <row r="960" spans="1:8" ht="19.95" customHeight="1">
      <c r="A960" s="5" t="str">
        <f>IF($G960="","",INDEX('EDS Lookup'!$D$6:$D$2819,$G960))</f>
        <v/>
      </c>
      <c r="B960" s="5" t="str">
        <f>IF($G960="","",INDEX('EDS Lookup'!$B$6:$B$2819,$G960))</f>
        <v/>
      </c>
      <c r="C960" s="17"/>
      <c r="D960" s="6"/>
      <c r="E960" s="7" t="str">
        <f>IF($G960="","",INDEX('EDS Lookup'!$F$6:$F$2819,$G960))</f>
        <v/>
      </c>
      <c r="F960" s="8" t="str">
        <f>IF($G960="","",INDEX('EDS Lookup'!$G$6:$G$2819,$G960))</f>
        <v/>
      </c>
      <c r="G960" t="str">
        <f>IF(937&lt;=$B$4,IFERROR(MATCH(937,'EDS Lookup'!$H$6:$H$2819,0),""),"")</f>
        <v/>
      </c>
      <c r="H960" t="str">
        <f t="shared" si="14"/>
        <v/>
      </c>
    </row>
    <row r="961" spans="1:8" ht="19.95" customHeight="1">
      <c r="A961" s="5" t="str">
        <f>IF($G961="","",INDEX('EDS Lookup'!$D$6:$D$2819,$G961))</f>
        <v/>
      </c>
      <c r="B961" s="5" t="str">
        <f>IF($G961="","",INDEX('EDS Lookup'!$B$6:$B$2819,$G961))</f>
        <v/>
      </c>
      <c r="C961" s="17"/>
      <c r="D961" s="6"/>
      <c r="E961" s="7" t="str">
        <f>IF($G961="","",INDEX('EDS Lookup'!$F$6:$F$2819,$G961))</f>
        <v/>
      </c>
      <c r="F961" s="8" t="str">
        <f>IF($G961="","",INDEX('EDS Lookup'!$G$6:$G$2819,$G961))</f>
        <v/>
      </c>
      <c r="G961" t="str">
        <f>IF(938&lt;=$B$4,IFERROR(MATCH(938,'EDS Lookup'!$H$6:$H$2819,0),""),"")</f>
        <v/>
      </c>
      <c r="H961" t="str">
        <f t="shared" si="14"/>
        <v/>
      </c>
    </row>
    <row r="962" spans="1:8" ht="19.95" customHeight="1">
      <c r="A962" s="5" t="str">
        <f>IF($G962="","",INDEX('EDS Lookup'!$D$6:$D$2819,$G962))</f>
        <v/>
      </c>
      <c r="B962" s="5" t="str">
        <f>IF($G962="","",INDEX('EDS Lookup'!$B$6:$B$2819,$G962))</f>
        <v/>
      </c>
      <c r="C962" s="17"/>
      <c r="D962" s="6"/>
      <c r="E962" s="7" t="str">
        <f>IF($G962="","",INDEX('EDS Lookup'!$F$6:$F$2819,$G962))</f>
        <v/>
      </c>
      <c r="F962" s="8" t="str">
        <f>IF($G962="","",INDEX('EDS Lookup'!$G$6:$G$2819,$G962))</f>
        <v/>
      </c>
      <c r="G962" t="str">
        <f>IF(939&lt;=$B$4,IFERROR(MATCH(939,'EDS Lookup'!$H$6:$H$2819,0),""),"")</f>
        <v/>
      </c>
      <c r="H962" t="str">
        <f t="shared" si="14"/>
        <v/>
      </c>
    </row>
    <row r="963" spans="1:8" ht="19.95" customHeight="1">
      <c r="A963" s="5" t="str">
        <f>IF($G963="","",INDEX('EDS Lookup'!$D$6:$D$2819,$G963))</f>
        <v/>
      </c>
      <c r="B963" s="5" t="str">
        <f>IF($G963="","",INDEX('EDS Lookup'!$B$6:$B$2819,$G963))</f>
        <v/>
      </c>
      <c r="C963" s="17"/>
      <c r="D963" s="6"/>
      <c r="E963" s="7" t="str">
        <f>IF($G963="","",INDEX('EDS Lookup'!$F$6:$F$2819,$G963))</f>
        <v/>
      </c>
      <c r="F963" s="8" t="str">
        <f>IF($G963="","",INDEX('EDS Lookup'!$G$6:$G$2819,$G963))</f>
        <v/>
      </c>
      <c r="G963" t="str">
        <f>IF(940&lt;=$B$4,IFERROR(MATCH(940,'EDS Lookup'!$H$6:$H$2819,0),""),"")</f>
        <v/>
      </c>
      <c r="H963" t="str">
        <f t="shared" si="14"/>
        <v/>
      </c>
    </row>
    <row r="964" spans="1:8" ht="19.95" customHeight="1">
      <c r="A964" s="5" t="str">
        <f>IF($G964="","",INDEX('EDS Lookup'!$D$6:$D$2819,$G964))</f>
        <v/>
      </c>
      <c r="B964" s="5" t="str">
        <f>IF($G964="","",INDEX('EDS Lookup'!$B$6:$B$2819,$G964))</f>
        <v/>
      </c>
      <c r="C964" s="17"/>
      <c r="D964" s="6"/>
      <c r="E964" s="7" t="str">
        <f>IF($G964="","",INDEX('EDS Lookup'!$F$6:$F$2819,$G964))</f>
        <v/>
      </c>
      <c r="F964" s="8" t="str">
        <f>IF($G964="","",INDEX('EDS Lookup'!$G$6:$G$2819,$G964))</f>
        <v/>
      </c>
      <c r="G964" t="str">
        <f>IF(941&lt;=$B$4,IFERROR(MATCH(941,'EDS Lookup'!$H$6:$H$2819,0),""),"")</f>
        <v/>
      </c>
      <c r="H964" t="str">
        <f t="shared" si="14"/>
        <v/>
      </c>
    </row>
    <row r="965" spans="1:8" ht="19.95" customHeight="1">
      <c r="A965" s="5" t="str">
        <f>IF($G965="","",INDEX('EDS Lookup'!$D$6:$D$2819,$G965))</f>
        <v/>
      </c>
      <c r="B965" s="5" t="str">
        <f>IF($G965="","",INDEX('EDS Lookup'!$B$6:$B$2819,$G965))</f>
        <v/>
      </c>
      <c r="C965" s="17"/>
      <c r="D965" s="6"/>
      <c r="E965" s="7" t="str">
        <f>IF($G965="","",INDEX('EDS Lookup'!$F$6:$F$2819,$G965))</f>
        <v/>
      </c>
      <c r="F965" s="8" t="str">
        <f>IF($G965="","",INDEX('EDS Lookup'!$G$6:$G$2819,$G965))</f>
        <v/>
      </c>
      <c r="G965" t="str">
        <f>IF(942&lt;=$B$4,IFERROR(MATCH(942,'EDS Lookup'!$H$6:$H$2819,0),""),"")</f>
        <v/>
      </c>
      <c r="H965" t="str">
        <f t="shared" si="14"/>
        <v/>
      </c>
    </row>
    <row r="966" spans="1:8" ht="19.95" customHeight="1">
      <c r="A966" s="5" t="str">
        <f>IF($G966="","",INDEX('EDS Lookup'!$D$6:$D$2819,$G966))</f>
        <v/>
      </c>
      <c r="B966" s="5" t="str">
        <f>IF($G966="","",INDEX('EDS Lookup'!$B$6:$B$2819,$G966))</f>
        <v/>
      </c>
      <c r="C966" s="17"/>
      <c r="D966" s="6"/>
      <c r="E966" s="7" t="str">
        <f>IF($G966="","",INDEX('EDS Lookup'!$F$6:$F$2819,$G966))</f>
        <v/>
      </c>
      <c r="F966" s="8" t="str">
        <f>IF($G966="","",INDEX('EDS Lookup'!$G$6:$G$2819,$G966))</f>
        <v/>
      </c>
      <c r="G966" t="str">
        <f>IF(943&lt;=$B$4,IFERROR(MATCH(943,'EDS Lookup'!$H$6:$H$2819,0),""),"")</f>
        <v/>
      </c>
      <c r="H966" t="str">
        <f t="shared" si="14"/>
        <v/>
      </c>
    </row>
    <row r="967" spans="1:8" ht="19.95" customHeight="1">
      <c r="A967" s="5" t="str">
        <f>IF($G967="","",INDEX('EDS Lookup'!$D$6:$D$2819,$G967))</f>
        <v/>
      </c>
      <c r="B967" s="5" t="str">
        <f>IF($G967="","",INDEX('EDS Lookup'!$B$6:$B$2819,$G967))</f>
        <v/>
      </c>
      <c r="C967" s="17"/>
      <c r="D967" s="6"/>
      <c r="E967" s="7" t="str">
        <f>IF($G967="","",INDEX('EDS Lookup'!$F$6:$F$2819,$G967))</f>
        <v/>
      </c>
      <c r="F967" s="8" t="str">
        <f>IF($G967="","",INDEX('EDS Lookup'!$G$6:$G$2819,$G967))</f>
        <v/>
      </c>
      <c r="G967" t="str">
        <f>IF(944&lt;=$B$4,IFERROR(MATCH(944,'EDS Lookup'!$H$6:$H$2819,0),""),"")</f>
        <v/>
      </c>
      <c r="H967" t="str">
        <f t="shared" si="14"/>
        <v/>
      </c>
    </row>
    <row r="968" spans="1:8" ht="19.95" customHeight="1">
      <c r="A968" s="5" t="str">
        <f>IF($G968="","",INDEX('EDS Lookup'!$D$6:$D$2819,$G968))</f>
        <v/>
      </c>
      <c r="B968" s="5" t="str">
        <f>IF($G968="","",INDEX('EDS Lookup'!$B$6:$B$2819,$G968))</f>
        <v/>
      </c>
      <c r="C968" s="17"/>
      <c r="D968" s="6"/>
      <c r="E968" s="7" t="str">
        <f>IF($G968="","",INDEX('EDS Lookup'!$F$6:$F$2819,$G968))</f>
        <v/>
      </c>
      <c r="F968" s="8" t="str">
        <f>IF($G968="","",INDEX('EDS Lookup'!$G$6:$G$2819,$G968))</f>
        <v/>
      </c>
      <c r="G968" t="str">
        <f>IF(945&lt;=$B$4,IFERROR(MATCH(945,'EDS Lookup'!$H$6:$H$2819,0),""),"")</f>
        <v/>
      </c>
      <c r="H968" t="str">
        <f t="shared" si="14"/>
        <v/>
      </c>
    </row>
    <row r="969" spans="1:8" ht="19.95" customHeight="1">
      <c r="A969" s="5" t="str">
        <f>IF($G969="","",INDEX('EDS Lookup'!$D$6:$D$2819,$G969))</f>
        <v/>
      </c>
      <c r="B969" s="5" t="str">
        <f>IF($G969="","",INDEX('EDS Lookup'!$B$6:$B$2819,$G969))</f>
        <v/>
      </c>
      <c r="C969" s="17"/>
      <c r="D969" s="6"/>
      <c r="E969" s="7" t="str">
        <f>IF($G969="","",INDEX('EDS Lookup'!$F$6:$F$2819,$G969))</f>
        <v/>
      </c>
      <c r="F969" s="8" t="str">
        <f>IF($G969="","",INDEX('EDS Lookup'!$G$6:$G$2819,$G969))</f>
        <v/>
      </c>
      <c r="G969" t="str">
        <f>IF(946&lt;=$B$4,IFERROR(MATCH(946,'EDS Lookup'!$H$6:$H$2819,0),""),"")</f>
        <v/>
      </c>
      <c r="H969" t="str">
        <f t="shared" si="14"/>
        <v/>
      </c>
    </row>
    <row r="970" spans="1:8" ht="19.95" customHeight="1">
      <c r="A970" s="5" t="str">
        <f>IF($G970="","",INDEX('EDS Lookup'!$D$6:$D$2819,$G970))</f>
        <v/>
      </c>
      <c r="B970" s="5" t="str">
        <f>IF($G970="","",INDEX('EDS Lookup'!$B$6:$B$2819,$G970))</f>
        <v/>
      </c>
      <c r="C970" s="17"/>
      <c r="D970" s="6"/>
      <c r="E970" s="7" t="str">
        <f>IF($G970="","",INDEX('EDS Lookup'!$F$6:$F$2819,$G970))</f>
        <v/>
      </c>
      <c r="F970" s="8" t="str">
        <f>IF($G970="","",INDEX('EDS Lookup'!$G$6:$G$2819,$G970))</f>
        <v/>
      </c>
      <c r="G970" t="str">
        <f>IF(947&lt;=$B$4,IFERROR(MATCH(947,'EDS Lookup'!$H$6:$H$2819,0),""),"")</f>
        <v/>
      </c>
      <c r="H970" t="str">
        <f t="shared" si="14"/>
        <v/>
      </c>
    </row>
    <row r="971" spans="1:8" ht="19.95" customHeight="1">
      <c r="A971" s="5" t="str">
        <f>IF($G971="","",INDEX('EDS Lookup'!$D$6:$D$2819,$G971))</f>
        <v/>
      </c>
      <c r="B971" s="5" t="str">
        <f>IF($G971="","",INDEX('EDS Lookup'!$B$6:$B$2819,$G971))</f>
        <v/>
      </c>
      <c r="C971" s="17"/>
      <c r="D971" s="6"/>
      <c r="E971" s="7" t="str">
        <f>IF($G971="","",INDEX('EDS Lookup'!$F$6:$F$2819,$G971))</f>
        <v/>
      </c>
      <c r="F971" s="8" t="str">
        <f>IF($G971="","",INDEX('EDS Lookup'!$G$6:$G$2819,$G971))</f>
        <v/>
      </c>
      <c r="G971" t="str">
        <f>IF(948&lt;=$B$4,IFERROR(MATCH(948,'EDS Lookup'!$H$6:$H$2819,0),""),"")</f>
        <v/>
      </c>
      <c r="H971" t="str">
        <f t="shared" si="14"/>
        <v/>
      </c>
    </row>
    <row r="972" spans="1:8" ht="19.95" customHeight="1">
      <c r="A972" s="5" t="str">
        <f>IF($G972="","",INDEX('EDS Lookup'!$D$6:$D$2819,$G972))</f>
        <v/>
      </c>
      <c r="B972" s="5" t="str">
        <f>IF($G972="","",INDEX('EDS Lookup'!$B$6:$B$2819,$G972))</f>
        <v/>
      </c>
      <c r="C972" s="17"/>
      <c r="D972" s="6"/>
      <c r="E972" s="7" t="str">
        <f>IF($G972="","",INDEX('EDS Lookup'!$F$6:$F$2819,$G972))</f>
        <v/>
      </c>
      <c r="F972" s="8" t="str">
        <f>IF($G972="","",INDEX('EDS Lookup'!$G$6:$G$2819,$G972))</f>
        <v/>
      </c>
      <c r="G972" t="str">
        <f>IF(949&lt;=$B$4,IFERROR(MATCH(949,'EDS Lookup'!$H$6:$H$2819,0),""),"")</f>
        <v/>
      </c>
      <c r="H972" t="str">
        <f t="shared" si="14"/>
        <v/>
      </c>
    </row>
    <row r="973" spans="1:8" ht="19.95" customHeight="1">
      <c r="A973" s="5" t="str">
        <f>IF($G973="","",INDEX('EDS Lookup'!$D$6:$D$2819,$G973))</f>
        <v/>
      </c>
      <c r="B973" s="5" t="str">
        <f>IF($G973="","",INDEX('EDS Lookup'!$B$6:$B$2819,$G973))</f>
        <v/>
      </c>
      <c r="C973" s="17"/>
      <c r="D973" s="6"/>
      <c r="E973" s="7" t="str">
        <f>IF($G973="","",INDEX('EDS Lookup'!$F$6:$F$2819,$G973))</f>
        <v/>
      </c>
      <c r="F973" s="8" t="str">
        <f>IF($G973="","",INDEX('EDS Lookup'!$G$6:$G$2819,$G973))</f>
        <v/>
      </c>
      <c r="G973" t="str">
        <f>IF(950&lt;=$B$4,IFERROR(MATCH(950,'EDS Lookup'!$H$6:$H$2819,0),""),"")</f>
        <v/>
      </c>
      <c r="H973" t="str">
        <f t="shared" si="14"/>
        <v/>
      </c>
    </row>
    <row r="974" spans="1:8" ht="19.95" customHeight="1">
      <c r="A974" s="5" t="str">
        <f>IF($G974="","",INDEX('EDS Lookup'!$D$6:$D$2819,$G974))</f>
        <v/>
      </c>
      <c r="B974" s="5" t="str">
        <f>IF($G974="","",INDEX('EDS Lookup'!$B$6:$B$2819,$G974))</f>
        <v/>
      </c>
      <c r="C974" s="17"/>
      <c r="D974" s="6"/>
      <c r="E974" s="7" t="str">
        <f>IF($G974="","",INDEX('EDS Lookup'!$F$6:$F$2819,$G974))</f>
        <v/>
      </c>
      <c r="F974" s="8" t="str">
        <f>IF($G974="","",INDEX('EDS Lookup'!$G$6:$G$2819,$G974))</f>
        <v/>
      </c>
      <c r="G974" t="str">
        <f>IF(951&lt;=$B$4,IFERROR(MATCH(951,'EDS Lookup'!$H$6:$H$2819,0),""),"")</f>
        <v/>
      </c>
      <c r="H974" t="str">
        <f t="shared" si="14"/>
        <v/>
      </c>
    </row>
    <row r="975" spans="1:8" ht="19.95" customHeight="1">
      <c r="A975" s="5" t="str">
        <f>IF($G975="","",INDEX('EDS Lookup'!$D$6:$D$2819,$G975))</f>
        <v/>
      </c>
      <c r="B975" s="5" t="str">
        <f>IF($G975="","",INDEX('EDS Lookup'!$B$6:$B$2819,$G975))</f>
        <v/>
      </c>
      <c r="C975" s="17"/>
      <c r="D975" s="6"/>
      <c r="E975" s="7" t="str">
        <f>IF($G975="","",INDEX('EDS Lookup'!$F$6:$F$2819,$G975))</f>
        <v/>
      </c>
      <c r="F975" s="8" t="str">
        <f>IF($G975="","",INDEX('EDS Lookup'!$G$6:$G$2819,$G975))</f>
        <v/>
      </c>
      <c r="G975" t="str">
        <f>IF(952&lt;=$B$4,IFERROR(MATCH(952,'EDS Lookup'!$H$6:$H$2819,0),""),"")</f>
        <v/>
      </c>
      <c r="H975" t="str">
        <f t="shared" si="14"/>
        <v/>
      </c>
    </row>
    <row r="976" spans="1:8" ht="19.95" customHeight="1">
      <c r="A976" s="5" t="str">
        <f>IF($G976="","",INDEX('EDS Lookup'!$D$6:$D$2819,$G976))</f>
        <v/>
      </c>
      <c r="B976" s="5" t="str">
        <f>IF($G976="","",INDEX('EDS Lookup'!$B$6:$B$2819,$G976))</f>
        <v/>
      </c>
      <c r="C976" s="17"/>
      <c r="D976" s="6"/>
      <c r="E976" s="7" t="str">
        <f>IF($G976="","",INDEX('EDS Lookup'!$F$6:$F$2819,$G976))</f>
        <v/>
      </c>
      <c r="F976" s="8" t="str">
        <f>IF($G976="","",INDEX('EDS Lookup'!$G$6:$G$2819,$G976))</f>
        <v/>
      </c>
      <c r="G976" t="str">
        <f>IF(953&lt;=$B$4,IFERROR(MATCH(953,'EDS Lookup'!$H$6:$H$2819,0),""),"")</f>
        <v/>
      </c>
      <c r="H976" t="str">
        <f t="shared" si="14"/>
        <v/>
      </c>
    </row>
    <row r="977" spans="1:8" ht="19.95" customHeight="1">
      <c r="A977" s="5" t="str">
        <f>IF($G977="","",INDEX('EDS Lookup'!$D$6:$D$2819,$G977))</f>
        <v/>
      </c>
      <c r="B977" s="5" t="str">
        <f>IF($G977="","",INDEX('EDS Lookup'!$B$6:$B$2819,$G977))</f>
        <v/>
      </c>
      <c r="C977" s="17"/>
      <c r="D977" s="6"/>
      <c r="E977" s="7" t="str">
        <f>IF($G977="","",INDEX('EDS Lookup'!$F$6:$F$2819,$G977))</f>
        <v/>
      </c>
      <c r="F977" s="8" t="str">
        <f>IF($G977="","",INDEX('EDS Lookup'!$G$6:$G$2819,$G977))</f>
        <v/>
      </c>
      <c r="G977" t="str">
        <f>IF(954&lt;=$B$4,IFERROR(MATCH(954,'EDS Lookup'!$H$6:$H$2819,0),""),"")</f>
        <v/>
      </c>
      <c r="H977" t="str">
        <f t="shared" si="14"/>
        <v/>
      </c>
    </row>
    <row r="978" spans="1:8" ht="19.95" customHeight="1">
      <c r="A978" s="5" t="str">
        <f>IF($G978="","",INDEX('EDS Lookup'!$D$6:$D$2819,$G978))</f>
        <v/>
      </c>
      <c r="B978" s="5" t="str">
        <f>IF($G978="","",INDEX('EDS Lookup'!$B$6:$B$2819,$G978))</f>
        <v/>
      </c>
      <c r="C978" s="17"/>
      <c r="D978" s="6"/>
      <c r="E978" s="7" t="str">
        <f>IF($G978="","",INDEX('EDS Lookup'!$F$6:$F$2819,$G978))</f>
        <v/>
      </c>
      <c r="F978" s="8" t="str">
        <f>IF($G978="","",INDEX('EDS Lookup'!$G$6:$G$2819,$G978))</f>
        <v/>
      </c>
      <c r="G978" t="str">
        <f>IF(955&lt;=$B$4,IFERROR(MATCH(955,'EDS Lookup'!$H$6:$H$2819,0),""),"")</f>
        <v/>
      </c>
      <c r="H978" t="str">
        <f t="shared" si="14"/>
        <v/>
      </c>
    </row>
    <row r="979" spans="1:8" ht="19.95" customHeight="1">
      <c r="A979" s="5" t="str">
        <f>IF($G979="","",INDEX('EDS Lookup'!$D$6:$D$2819,$G979))</f>
        <v/>
      </c>
      <c r="B979" s="5" t="str">
        <f>IF($G979="","",INDEX('EDS Lookup'!$B$6:$B$2819,$G979))</f>
        <v/>
      </c>
      <c r="C979" s="17"/>
      <c r="D979" s="6"/>
      <c r="E979" s="7" t="str">
        <f>IF($G979="","",INDEX('EDS Lookup'!$F$6:$F$2819,$G979))</f>
        <v/>
      </c>
      <c r="F979" s="8" t="str">
        <f>IF($G979="","",INDEX('EDS Lookup'!$G$6:$G$2819,$G979))</f>
        <v/>
      </c>
      <c r="G979" t="str">
        <f>IF(956&lt;=$B$4,IFERROR(MATCH(956,'EDS Lookup'!$H$6:$H$2819,0),""),"")</f>
        <v/>
      </c>
      <c r="H979" t="str">
        <f t="shared" si="14"/>
        <v/>
      </c>
    </row>
    <row r="980" spans="1:8" ht="19.95" customHeight="1">
      <c r="A980" s="5" t="str">
        <f>IF($G980="","",INDEX('EDS Lookup'!$D$6:$D$2819,$G980))</f>
        <v/>
      </c>
      <c r="B980" s="5" t="str">
        <f>IF($G980="","",INDEX('EDS Lookup'!$B$6:$B$2819,$G980))</f>
        <v/>
      </c>
      <c r="C980" s="17"/>
      <c r="D980" s="6"/>
      <c r="E980" s="7" t="str">
        <f>IF($G980="","",INDEX('EDS Lookup'!$F$6:$F$2819,$G980))</f>
        <v/>
      </c>
      <c r="F980" s="8" t="str">
        <f>IF($G980="","",INDEX('EDS Lookup'!$G$6:$G$2819,$G980))</f>
        <v/>
      </c>
      <c r="G980" t="str">
        <f>IF(957&lt;=$B$4,IFERROR(MATCH(957,'EDS Lookup'!$H$6:$H$2819,0),""),"")</f>
        <v/>
      </c>
      <c r="H980" t="str">
        <f t="shared" si="14"/>
        <v/>
      </c>
    </row>
    <row r="981" spans="1:8" ht="19.95" customHeight="1">
      <c r="A981" s="5" t="str">
        <f>IF($G981="","",INDEX('EDS Lookup'!$D$6:$D$2819,$G981))</f>
        <v/>
      </c>
      <c r="B981" s="5" t="str">
        <f>IF($G981="","",INDEX('EDS Lookup'!$B$6:$B$2819,$G981))</f>
        <v/>
      </c>
      <c r="C981" s="17"/>
      <c r="D981" s="6"/>
      <c r="E981" s="7" t="str">
        <f>IF($G981="","",INDEX('EDS Lookup'!$F$6:$F$2819,$G981))</f>
        <v/>
      </c>
      <c r="F981" s="8" t="str">
        <f>IF($G981="","",INDEX('EDS Lookup'!$G$6:$G$2819,$G981))</f>
        <v/>
      </c>
      <c r="G981" t="str">
        <f>IF(958&lt;=$B$4,IFERROR(MATCH(958,'EDS Lookup'!$H$6:$H$2819,0),""),"")</f>
        <v/>
      </c>
      <c r="H981" t="str">
        <f t="shared" si="14"/>
        <v/>
      </c>
    </row>
    <row r="982" spans="1:8" ht="19.95" customHeight="1">
      <c r="A982" s="5" t="str">
        <f>IF($G982="","",INDEX('EDS Lookup'!$D$6:$D$2819,$G982))</f>
        <v/>
      </c>
      <c r="B982" s="5" t="str">
        <f>IF($G982="","",INDEX('EDS Lookup'!$B$6:$B$2819,$G982))</f>
        <v/>
      </c>
      <c r="C982" s="17"/>
      <c r="D982" s="6"/>
      <c r="E982" s="7" t="str">
        <f>IF($G982="","",INDEX('EDS Lookup'!$F$6:$F$2819,$G982))</f>
        <v/>
      </c>
      <c r="F982" s="8" t="str">
        <f>IF($G982="","",INDEX('EDS Lookup'!$G$6:$G$2819,$G982))</f>
        <v/>
      </c>
      <c r="G982" t="str">
        <f>IF(959&lt;=$B$4,IFERROR(MATCH(959,'EDS Lookup'!$H$6:$H$2819,0),""),"")</f>
        <v/>
      </c>
      <c r="H982" t="str">
        <f t="shared" si="14"/>
        <v/>
      </c>
    </row>
    <row r="983" spans="1:8" ht="19.95" customHeight="1">
      <c r="A983" s="5" t="str">
        <f>IF($G983="","",INDEX('EDS Lookup'!$D$6:$D$2819,$G983))</f>
        <v/>
      </c>
      <c r="B983" s="5" t="str">
        <f>IF($G983="","",INDEX('EDS Lookup'!$B$6:$B$2819,$G983))</f>
        <v/>
      </c>
      <c r="C983" s="17"/>
      <c r="D983" s="6"/>
      <c r="E983" s="7" t="str">
        <f>IF($G983="","",INDEX('EDS Lookup'!$F$6:$F$2819,$G983))</f>
        <v/>
      </c>
      <c r="F983" s="8" t="str">
        <f>IF($G983="","",INDEX('EDS Lookup'!$G$6:$G$2819,$G983))</f>
        <v/>
      </c>
      <c r="G983" t="str">
        <f>IF(960&lt;=$B$4,IFERROR(MATCH(960,'EDS Lookup'!$H$6:$H$2819,0),""),"")</f>
        <v/>
      </c>
      <c r="H983" t="str">
        <f t="shared" si="14"/>
        <v/>
      </c>
    </row>
    <row r="984" spans="1:8" ht="19.95" customHeight="1">
      <c r="A984" s="5" t="str">
        <f>IF($G984="","",INDEX('EDS Lookup'!$D$6:$D$2819,$G984))</f>
        <v/>
      </c>
      <c r="B984" s="5" t="str">
        <f>IF($G984="","",INDEX('EDS Lookup'!$B$6:$B$2819,$G984))</f>
        <v/>
      </c>
      <c r="C984" s="17"/>
      <c r="D984" s="6"/>
      <c r="E984" s="7" t="str">
        <f>IF($G984="","",INDEX('EDS Lookup'!$F$6:$F$2819,$G984))</f>
        <v/>
      </c>
      <c r="F984" s="8" t="str">
        <f>IF($G984="","",INDEX('EDS Lookup'!$G$6:$G$2819,$G984))</f>
        <v/>
      </c>
      <c r="G984" t="str">
        <f>IF(961&lt;=$B$4,IFERROR(MATCH(961,'EDS Lookup'!$H$6:$H$2819,0),""),"")</f>
        <v/>
      </c>
      <c r="H984" t="str">
        <f t="shared" ref="H984:H1047" si="15">IF(F984="&lt;5",5,IF(F984="&gt;95",95,IF(ISNUMBER(F984),F984,"")))</f>
        <v/>
      </c>
    </row>
    <row r="985" spans="1:8" ht="19.95" customHeight="1">
      <c r="A985" s="5" t="str">
        <f>IF($G985="","",INDEX('EDS Lookup'!$D$6:$D$2819,$G985))</f>
        <v/>
      </c>
      <c r="B985" s="5" t="str">
        <f>IF($G985="","",INDEX('EDS Lookup'!$B$6:$B$2819,$G985))</f>
        <v/>
      </c>
      <c r="C985" s="17"/>
      <c r="D985" s="6"/>
      <c r="E985" s="7" t="str">
        <f>IF($G985="","",INDEX('EDS Lookup'!$F$6:$F$2819,$G985))</f>
        <v/>
      </c>
      <c r="F985" s="8" t="str">
        <f>IF($G985="","",INDEX('EDS Lookup'!$G$6:$G$2819,$G985))</f>
        <v/>
      </c>
      <c r="G985" t="str">
        <f>IF(962&lt;=$B$4,IFERROR(MATCH(962,'EDS Lookup'!$H$6:$H$2819,0),""),"")</f>
        <v/>
      </c>
      <c r="H985" t="str">
        <f t="shared" si="15"/>
        <v/>
      </c>
    </row>
    <row r="986" spans="1:8" ht="19.95" customHeight="1">
      <c r="A986" s="5" t="str">
        <f>IF($G986="","",INDEX('EDS Lookup'!$D$6:$D$2819,$G986))</f>
        <v/>
      </c>
      <c r="B986" s="5" t="str">
        <f>IF($G986="","",INDEX('EDS Lookup'!$B$6:$B$2819,$G986))</f>
        <v/>
      </c>
      <c r="C986" s="17"/>
      <c r="D986" s="6"/>
      <c r="E986" s="7" t="str">
        <f>IF($G986="","",INDEX('EDS Lookup'!$F$6:$F$2819,$G986))</f>
        <v/>
      </c>
      <c r="F986" s="8" t="str">
        <f>IF($G986="","",INDEX('EDS Lookup'!$G$6:$G$2819,$G986))</f>
        <v/>
      </c>
      <c r="G986" t="str">
        <f>IF(963&lt;=$B$4,IFERROR(MATCH(963,'EDS Lookup'!$H$6:$H$2819,0),""),"")</f>
        <v/>
      </c>
      <c r="H986" t="str">
        <f t="shared" si="15"/>
        <v/>
      </c>
    </row>
    <row r="987" spans="1:8" ht="19.95" customHeight="1">
      <c r="A987" s="5" t="str">
        <f>IF($G987="","",INDEX('EDS Lookup'!$D$6:$D$2819,$G987))</f>
        <v/>
      </c>
      <c r="B987" s="5" t="str">
        <f>IF($G987="","",INDEX('EDS Lookup'!$B$6:$B$2819,$G987))</f>
        <v/>
      </c>
      <c r="C987" s="17"/>
      <c r="D987" s="6"/>
      <c r="E987" s="7" t="str">
        <f>IF($G987="","",INDEX('EDS Lookup'!$F$6:$F$2819,$G987))</f>
        <v/>
      </c>
      <c r="F987" s="8" t="str">
        <f>IF($G987="","",INDEX('EDS Lookup'!$G$6:$G$2819,$G987))</f>
        <v/>
      </c>
      <c r="G987" t="str">
        <f>IF(964&lt;=$B$4,IFERROR(MATCH(964,'EDS Lookup'!$H$6:$H$2819,0),""),"")</f>
        <v/>
      </c>
      <c r="H987" t="str">
        <f t="shared" si="15"/>
        <v/>
      </c>
    </row>
    <row r="988" spans="1:8" ht="19.95" customHeight="1">
      <c r="A988" s="5" t="str">
        <f>IF($G988="","",INDEX('EDS Lookup'!$D$6:$D$2819,$G988))</f>
        <v/>
      </c>
      <c r="B988" s="5" t="str">
        <f>IF($G988="","",INDEX('EDS Lookup'!$B$6:$B$2819,$G988))</f>
        <v/>
      </c>
      <c r="C988" s="17"/>
      <c r="D988" s="6"/>
      <c r="E988" s="7" t="str">
        <f>IF($G988="","",INDEX('EDS Lookup'!$F$6:$F$2819,$G988))</f>
        <v/>
      </c>
      <c r="F988" s="8" t="str">
        <f>IF($G988="","",INDEX('EDS Lookup'!$G$6:$G$2819,$G988))</f>
        <v/>
      </c>
      <c r="G988" t="str">
        <f>IF(965&lt;=$B$4,IFERROR(MATCH(965,'EDS Lookup'!$H$6:$H$2819,0),""),"")</f>
        <v/>
      </c>
      <c r="H988" t="str">
        <f t="shared" si="15"/>
        <v/>
      </c>
    </row>
    <row r="989" spans="1:8" ht="19.95" customHeight="1">
      <c r="A989" s="5" t="str">
        <f>IF($G989="","",INDEX('EDS Lookup'!$D$6:$D$2819,$G989))</f>
        <v/>
      </c>
      <c r="B989" s="5" t="str">
        <f>IF($G989="","",INDEX('EDS Lookup'!$B$6:$B$2819,$G989))</f>
        <v/>
      </c>
      <c r="C989" s="17"/>
      <c r="D989" s="6"/>
      <c r="E989" s="7" t="str">
        <f>IF($G989="","",INDEX('EDS Lookup'!$F$6:$F$2819,$G989))</f>
        <v/>
      </c>
      <c r="F989" s="8" t="str">
        <f>IF($G989="","",INDEX('EDS Lookup'!$G$6:$G$2819,$G989))</f>
        <v/>
      </c>
      <c r="G989" t="str">
        <f>IF(966&lt;=$B$4,IFERROR(MATCH(966,'EDS Lookup'!$H$6:$H$2819,0),""),"")</f>
        <v/>
      </c>
      <c r="H989" t="str">
        <f t="shared" si="15"/>
        <v/>
      </c>
    </row>
    <row r="990" spans="1:8" ht="19.95" customHeight="1">
      <c r="A990" s="5" t="str">
        <f>IF($G990="","",INDEX('EDS Lookup'!$D$6:$D$2819,$G990))</f>
        <v/>
      </c>
      <c r="B990" s="5" t="str">
        <f>IF($G990="","",INDEX('EDS Lookup'!$B$6:$B$2819,$G990))</f>
        <v/>
      </c>
      <c r="C990" s="17"/>
      <c r="D990" s="6"/>
      <c r="E990" s="7" t="str">
        <f>IF($G990="","",INDEX('EDS Lookup'!$F$6:$F$2819,$G990))</f>
        <v/>
      </c>
      <c r="F990" s="8" t="str">
        <f>IF($G990="","",INDEX('EDS Lookup'!$G$6:$G$2819,$G990))</f>
        <v/>
      </c>
      <c r="G990" t="str">
        <f>IF(967&lt;=$B$4,IFERROR(MATCH(967,'EDS Lookup'!$H$6:$H$2819,0),""),"")</f>
        <v/>
      </c>
      <c r="H990" t="str">
        <f t="shared" si="15"/>
        <v/>
      </c>
    </row>
    <row r="991" spans="1:8" ht="19.95" customHeight="1">
      <c r="A991" s="5" t="str">
        <f>IF($G991="","",INDEX('EDS Lookup'!$D$6:$D$2819,$G991))</f>
        <v/>
      </c>
      <c r="B991" s="5" t="str">
        <f>IF($G991="","",INDEX('EDS Lookup'!$B$6:$B$2819,$G991))</f>
        <v/>
      </c>
      <c r="C991" s="17"/>
      <c r="D991" s="6"/>
      <c r="E991" s="7" t="str">
        <f>IF($G991="","",INDEX('EDS Lookup'!$F$6:$F$2819,$G991))</f>
        <v/>
      </c>
      <c r="F991" s="8" t="str">
        <f>IF($G991="","",INDEX('EDS Lookup'!$G$6:$G$2819,$G991))</f>
        <v/>
      </c>
      <c r="G991" t="str">
        <f>IF(968&lt;=$B$4,IFERROR(MATCH(968,'EDS Lookup'!$H$6:$H$2819,0),""),"")</f>
        <v/>
      </c>
      <c r="H991" t="str">
        <f t="shared" si="15"/>
        <v/>
      </c>
    </row>
    <row r="992" spans="1:8" ht="19.95" customHeight="1">
      <c r="A992" s="5" t="str">
        <f>IF($G992="","",INDEX('EDS Lookup'!$D$6:$D$2819,$G992))</f>
        <v/>
      </c>
      <c r="B992" s="5" t="str">
        <f>IF($G992="","",INDEX('EDS Lookup'!$B$6:$B$2819,$G992))</f>
        <v/>
      </c>
      <c r="C992" s="17"/>
      <c r="D992" s="6"/>
      <c r="E992" s="7" t="str">
        <f>IF($G992="","",INDEX('EDS Lookup'!$F$6:$F$2819,$G992))</f>
        <v/>
      </c>
      <c r="F992" s="8" t="str">
        <f>IF($G992="","",INDEX('EDS Lookup'!$G$6:$G$2819,$G992))</f>
        <v/>
      </c>
      <c r="G992" t="str">
        <f>IF(969&lt;=$B$4,IFERROR(MATCH(969,'EDS Lookup'!$H$6:$H$2819,0),""),"")</f>
        <v/>
      </c>
      <c r="H992" t="str">
        <f t="shared" si="15"/>
        <v/>
      </c>
    </row>
    <row r="993" spans="1:8" ht="19.95" customHeight="1">
      <c r="A993" s="5" t="str">
        <f>IF($G993="","",INDEX('EDS Lookup'!$D$6:$D$2819,$G993))</f>
        <v/>
      </c>
      <c r="B993" s="5" t="str">
        <f>IF($G993="","",INDEX('EDS Lookup'!$B$6:$B$2819,$G993))</f>
        <v/>
      </c>
      <c r="C993" s="17"/>
      <c r="D993" s="6"/>
      <c r="E993" s="7" t="str">
        <f>IF($G993="","",INDEX('EDS Lookup'!$F$6:$F$2819,$G993))</f>
        <v/>
      </c>
      <c r="F993" s="8" t="str">
        <f>IF($G993="","",INDEX('EDS Lookup'!$G$6:$G$2819,$G993))</f>
        <v/>
      </c>
      <c r="G993" t="str">
        <f>IF(970&lt;=$B$4,IFERROR(MATCH(970,'EDS Lookup'!$H$6:$H$2819,0),""),"")</f>
        <v/>
      </c>
      <c r="H993" t="str">
        <f t="shared" si="15"/>
        <v/>
      </c>
    </row>
    <row r="994" spans="1:8" ht="19.95" customHeight="1">
      <c r="A994" s="5" t="str">
        <f>IF($G994="","",INDEX('EDS Lookup'!$D$6:$D$2819,$G994))</f>
        <v/>
      </c>
      <c r="B994" s="5" t="str">
        <f>IF($G994="","",INDEX('EDS Lookup'!$B$6:$B$2819,$G994))</f>
        <v/>
      </c>
      <c r="C994" s="17"/>
      <c r="D994" s="6"/>
      <c r="E994" s="7" t="str">
        <f>IF($G994="","",INDEX('EDS Lookup'!$F$6:$F$2819,$G994))</f>
        <v/>
      </c>
      <c r="F994" s="8" t="str">
        <f>IF($G994="","",INDEX('EDS Lookup'!$G$6:$G$2819,$G994))</f>
        <v/>
      </c>
      <c r="G994" t="str">
        <f>IF(971&lt;=$B$4,IFERROR(MATCH(971,'EDS Lookup'!$H$6:$H$2819,0),""),"")</f>
        <v/>
      </c>
      <c r="H994" t="str">
        <f t="shared" si="15"/>
        <v/>
      </c>
    </row>
    <row r="995" spans="1:8" ht="19.95" customHeight="1">
      <c r="A995" s="5" t="str">
        <f>IF($G995="","",INDEX('EDS Lookup'!$D$6:$D$2819,$G995))</f>
        <v/>
      </c>
      <c r="B995" s="5" t="str">
        <f>IF($G995="","",INDEX('EDS Lookup'!$B$6:$B$2819,$G995))</f>
        <v/>
      </c>
      <c r="C995" s="17"/>
      <c r="D995" s="6"/>
      <c r="E995" s="7" t="str">
        <f>IF($G995="","",INDEX('EDS Lookup'!$F$6:$F$2819,$G995))</f>
        <v/>
      </c>
      <c r="F995" s="8" t="str">
        <f>IF($G995="","",INDEX('EDS Lookup'!$G$6:$G$2819,$G995))</f>
        <v/>
      </c>
      <c r="G995" t="str">
        <f>IF(972&lt;=$B$4,IFERROR(MATCH(972,'EDS Lookup'!$H$6:$H$2819,0),""),"")</f>
        <v/>
      </c>
      <c r="H995" t="str">
        <f t="shared" si="15"/>
        <v/>
      </c>
    </row>
    <row r="996" spans="1:8" ht="19.95" customHeight="1">
      <c r="A996" s="5" t="str">
        <f>IF($G996="","",INDEX('EDS Lookup'!$D$6:$D$2819,$G996))</f>
        <v/>
      </c>
      <c r="B996" s="5" t="str">
        <f>IF($G996="","",INDEX('EDS Lookup'!$B$6:$B$2819,$G996))</f>
        <v/>
      </c>
      <c r="C996" s="17"/>
      <c r="D996" s="6"/>
      <c r="E996" s="7" t="str">
        <f>IF($G996="","",INDEX('EDS Lookup'!$F$6:$F$2819,$G996))</f>
        <v/>
      </c>
      <c r="F996" s="8" t="str">
        <f>IF($G996="","",INDEX('EDS Lookup'!$G$6:$G$2819,$G996))</f>
        <v/>
      </c>
      <c r="G996" t="str">
        <f>IF(973&lt;=$B$4,IFERROR(MATCH(973,'EDS Lookup'!$H$6:$H$2819,0),""),"")</f>
        <v/>
      </c>
      <c r="H996" t="str">
        <f t="shared" si="15"/>
        <v/>
      </c>
    </row>
    <row r="997" spans="1:8" ht="19.95" customHeight="1">
      <c r="A997" s="5" t="str">
        <f>IF($G997="","",INDEX('EDS Lookup'!$D$6:$D$2819,$G997))</f>
        <v/>
      </c>
      <c r="B997" s="5" t="str">
        <f>IF($G997="","",INDEX('EDS Lookup'!$B$6:$B$2819,$G997))</f>
        <v/>
      </c>
      <c r="C997" s="17"/>
      <c r="D997" s="6"/>
      <c r="E997" s="7" t="str">
        <f>IF($G997="","",INDEX('EDS Lookup'!$F$6:$F$2819,$G997))</f>
        <v/>
      </c>
      <c r="F997" s="8" t="str">
        <f>IF($G997="","",INDEX('EDS Lookup'!$G$6:$G$2819,$G997))</f>
        <v/>
      </c>
      <c r="G997" t="str">
        <f>IF(974&lt;=$B$4,IFERROR(MATCH(974,'EDS Lookup'!$H$6:$H$2819,0),""),"")</f>
        <v/>
      </c>
      <c r="H997" t="str">
        <f t="shared" si="15"/>
        <v/>
      </c>
    </row>
    <row r="998" spans="1:8" ht="19.95" customHeight="1">
      <c r="A998" s="5" t="str">
        <f>IF($G998="","",INDEX('EDS Lookup'!$D$6:$D$2819,$G998))</f>
        <v/>
      </c>
      <c r="B998" s="5" t="str">
        <f>IF($G998="","",INDEX('EDS Lookup'!$B$6:$B$2819,$G998))</f>
        <v/>
      </c>
      <c r="C998" s="17"/>
      <c r="D998" s="6"/>
      <c r="E998" s="7" t="str">
        <f>IF($G998="","",INDEX('EDS Lookup'!$F$6:$F$2819,$G998))</f>
        <v/>
      </c>
      <c r="F998" s="8" t="str">
        <f>IF($G998="","",INDEX('EDS Lookup'!$G$6:$G$2819,$G998))</f>
        <v/>
      </c>
      <c r="G998" t="str">
        <f>IF(975&lt;=$B$4,IFERROR(MATCH(975,'EDS Lookup'!$H$6:$H$2819,0),""),"")</f>
        <v/>
      </c>
      <c r="H998" t="str">
        <f t="shared" si="15"/>
        <v/>
      </c>
    </row>
    <row r="999" spans="1:8" ht="19.95" customHeight="1">
      <c r="A999" s="5" t="str">
        <f>IF($G999="","",INDEX('EDS Lookup'!$D$6:$D$2819,$G999))</f>
        <v/>
      </c>
      <c r="B999" s="5" t="str">
        <f>IF($G999="","",INDEX('EDS Lookup'!$B$6:$B$2819,$G999))</f>
        <v/>
      </c>
      <c r="C999" s="17"/>
      <c r="D999" s="6"/>
      <c r="E999" s="7" t="str">
        <f>IF($G999="","",INDEX('EDS Lookup'!$F$6:$F$2819,$G999))</f>
        <v/>
      </c>
      <c r="F999" s="8" t="str">
        <f>IF($G999="","",INDEX('EDS Lookup'!$G$6:$G$2819,$G999))</f>
        <v/>
      </c>
      <c r="G999" t="str">
        <f>IF(976&lt;=$B$4,IFERROR(MATCH(976,'EDS Lookup'!$H$6:$H$2819,0),""),"")</f>
        <v/>
      </c>
      <c r="H999" t="str">
        <f t="shared" si="15"/>
        <v/>
      </c>
    </row>
    <row r="1000" spans="1:8" ht="19.95" customHeight="1">
      <c r="A1000" s="5" t="str">
        <f>IF($G1000="","",INDEX('EDS Lookup'!$D$6:$D$2819,$G1000))</f>
        <v/>
      </c>
      <c r="B1000" s="5" t="str">
        <f>IF($G1000="","",INDEX('EDS Lookup'!$B$6:$B$2819,$G1000))</f>
        <v/>
      </c>
      <c r="C1000" s="17"/>
      <c r="D1000" s="6"/>
      <c r="E1000" s="7" t="str">
        <f>IF($G1000="","",INDEX('EDS Lookup'!$F$6:$F$2819,$G1000))</f>
        <v/>
      </c>
      <c r="F1000" s="8" t="str">
        <f>IF($G1000="","",INDEX('EDS Lookup'!$G$6:$G$2819,$G1000))</f>
        <v/>
      </c>
      <c r="G1000" t="str">
        <f>IF(977&lt;=$B$4,IFERROR(MATCH(977,'EDS Lookup'!$H$6:$H$2819,0),""),"")</f>
        <v/>
      </c>
      <c r="H1000" t="str">
        <f t="shared" si="15"/>
        <v/>
      </c>
    </row>
    <row r="1001" spans="1:8" ht="19.95" customHeight="1">
      <c r="A1001" s="5" t="str">
        <f>IF($G1001="","",INDEX('EDS Lookup'!$D$6:$D$2819,$G1001))</f>
        <v/>
      </c>
      <c r="B1001" s="5" t="str">
        <f>IF($G1001="","",INDEX('EDS Lookup'!$B$6:$B$2819,$G1001))</f>
        <v/>
      </c>
      <c r="C1001" s="17"/>
      <c r="D1001" s="6"/>
      <c r="E1001" s="7" t="str">
        <f>IF($G1001="","",INDEX('EDS Lookup'!$F$6:$F$2819,$G1001))</f>
        <v/>
      </c>
      <c r="F1001" s="8" t="str">
        <f>IF($G1001="","",INDEX('EDS Lookup'!$G$6:$G$2819,$G1001))</f>
        <v/>
      </c>
      <c r="G1001" t="str">
        <f>IF(978&lt;=$B$4,IFERROR(MATCH(978,'EDS Lookup'!$H$6:$H$2819,0),""),"")</f>
        <v/>
      </c>
      <c r="H1001" t="str">
        <f t="shared" si="15"/>
        <v/>
      </c>
    </row>
    <row r="1002" spans="1:8" ht="19.95" customHeight="1">
      <c r="A1002" s="5" t="str">
        <f>IF($G1002="","",INDEX('EDS Lookup'!$D$6:$D$2819,$G1002))</f>
        <v/>
      </c>
      <c r="B1002" s="5" t="str">
        <f>IF($G1002="","",INDEX('EDS Lookup'!$B$6:$B$2819,$G1002))</f>
        <v/>
      </c>
      <c r="C1002" s="17"/>
      <c r="D1002" s="6"/>
      <c r="E1002" s="7" t="str">
        <f>IF($G1002="","",INDEX('EDS Lookup'!$F$6:$F$2819,$G1002))</f>
        <v/>
      </c>
      <c r="F1002" s="8" t="str">
        <f>IF($G1002="","",INDEX('EDS Lookup'!$G$6:$G$2819,$G1002))</f>
        <v/>
      </c>
      <c r="G1002" t="str">
        <f>IF(979&lt;=$B$4,IFERROR(MATCH(979,'EDS Lookup'!$H$6:$H$2819,0),""),"")</f>
        <v/>
      </c>
      <c r="H1002" t="str">
        <f t="shared" si="15"/>
        <v/>
      </c>
    </row>
    <row r="1003" spans="1:8" ht="19.95" customHeight="1">
      <c r="A1003" s="5" t="str">
        <f>IF($G1003="","",INDEX('EDS Lookup'!$D$6:$D$2819,$G1003))</f>
        <v/>
      </c>
      <c r="B1003" s="5" t="str">
        <f>IF($G1003="","",INDEX('EDS Lookup'!$B$6:$B$2819,$G1003))</f>
        <v/>
      </c>
      <c r="C1003" s="17"/>
      <c r="D1003" s="6"/>
      <c r="E1003" s="7" t="str">
        <f>IF($G1003="","",INDEX('EDS Lookup'!$F$6:$F$2819,$G1003))</f>
        <v/>
      </c>
      <c r="F1003" s="8" t="str">
        <f>IF($G1003="","",INDEX('EDS Lookup'!$G$6:$G$2819,$G1003))</f>
        <v/>
      </c>
      <c r="G1003" t="str">
        <f>IF(980&lt;=$B$4,IFERROR(MATCH(980,'EDS Lookup'!$H$6:$H$2819,0),""),"")</f>
        <v/>
      </c>
      <c r="H1003" t="str">
        <f t="shared" si="15"/>
        <v/>
      </c>
    </row>
    <row r="1004" spans="1:8" ht="19.95" customHeight="1">
      <c r="A1004" s="5" t="str">
        <f>IF($G1004="","",INDEX('EDS Lookup'!$D$6:$D$2819,$G1004))</f>
        <v/>
      </c>
      <c r="B1004" s="5" t="str">
        <f>IF($G1004="","",INDEX('EDS Lookup'!$B$6:$B$2819,$G1004))</f>
        <v/>
      </c>
      <c r="C1004" s="17"/>
      <c r="D1004" s="6"/>
      <c r="E1004" s="7" t="str">
        <f>IF($G1004="","",INDEX('EDS Lookup'!$F$6:$F$2819,$G1004))</f>
        <v/>
      </c>
      <c r="F1004" s="8" t="str">
        <f>IF($G1004="","",INDEX('EDS Lookup'!$G$6:$G$2819,$G1004))</f>
        <v/>
      </c>
      <c r="G1004" t="str">
        <f>IF(981&lt;=$B$4,IFERROR(MATCH(981,'EDS Lookup'!$H$6:$H$2819,0),""),"")</f>
        <v/>
      </c>
      <c r="H1004" t="str">
        <f t="shared" si="15"/>
        <v/>
      </c>
    </row>
    <row r="1005" spans="1:8" ht="19.95" customHeight="1">
      <c r="A1005" s="5" t="str">
        <f>IF($G1005="","",INDEX('EDS Lookup'!$D$6:$D$2819,$G1005))</f>
        <v/>
      </c>
      <c r="B1005" s="5" t="str">
        <f>IF($G1005="","",INDEX('EDS Lookup'!$B$6:$B$2819,$G1005))</f>
        <v/>
      </c>
      <c r="C1005" s="17"/>
      <c r="D1005" s="6"/>
      <c r="E1005" s="7" t="str">
        <f>IF($G1005="","",INDEX('EDS Lookup'!$F$6:$F$2819,$G1005))</f>
        <v/>
      </c>
      <c r="F1005" s="8" t="str">
        <f>IF($G1005="","",INDEX('EDS Lookup'!$G$6:$G$2819,$G1005))</f>
        <v/>
      </c>
      <c r="G1005" t="str">
        <f>IF(982&lt;=$B$4,IFERROR(MATCH(982,'EDS Lookup'!$H$6:$H$2819,0),""),"")</f>
        <v/>
      </c>
      <c r="H1005" t="str">
        <f t="shared" si="15"/>
        <v/>
      </c>
    </row>
    <row r="1006" spans="1:8" ht="19.95" customHeight="1">
      <c r="A1006" s="5" t="str">
        <f>IF($G1006="","",INDEX('EDS Lookup'!$D$6:$D$2819,$G1006))</f>
        <v/>
      </c>
      <c r="B1006" s="5" t="str">
        <f>IF($G1006="","",INDEX('EDS Lookup'!$B$6:$B$2819,$G1006))</f>
        <v/>
      </c>
      <c r="C1006" s="17"/>
      <c r="D1006" s="6"/>
      <c r="E1006" s="7" t="str">
        <f>IF($G1006="","",INDEX('EDS Lookup'!$F$6:$F$2819,$G1006))</f>
        <v/>
      </c>
      <c r="F1006" s="8" t="str">
        <f>IF($G1006="","",INDEX('EDS Lookup'!$G$6:$G$2819,$G1006))</f>
        <v/>
      </c>
      <c r="G1006" t="str">
        <f>IF(983&lt;=$B$4,IFERROR(MATCH(983,'EDS Lookup'!$H$6:$H$2819,0),""),"")</f>
        <v/>
      </c>
      <c r="H1006" t="str">
        <f t="shared" si="15"/>
        <v/>
      </c>
    </row>
    <row r="1007" spans="1:8" ht="19.95" customHeight="1">
      <c r="A1007" s="5" t="str">
        <f>IF($G1007="","",INDEX('EDS Lookup'!$D$6:$D$2819,$G1007))</f>
        <v/>
      </c>
      <c r="B1007" s="5" t="str">
        <f>IF($G1007="","",INDEX('EDS Lookup'!$B$6:$B$2819,$G1007))</f>
        <v/>
      </c>
      <c r="C1007" s="17"/>
      <c r="D1007" s="6"/>
      <c r="E1007" s="7" t="str">
        <f>IF($G1007="","",INDEX('EDS Lookup'!$F$6:$F$2819,$G1007))</f>
        <v/>
      </c>
      <c r="F1007" s="8" t="str">
        <f>IF($G1007="","",INDEX('EDS Lookup'!$G$6:$G$2819,$G1007))</f>
        <v/>
      </c>
      <c r="G1007" t="str">
        <f>IF(984&lt;=$B$4,IFERROR(MATCH(984,'EDS Lookup'!$H$6:$H$2819,0),""),"")</f>
        <v/>
      </c>
      <c r="H1007" t="str">
        <f t="shared" si="15"/>
        <v/>
      </c>
    </row>
    <row r="1008" spans="1:8" ht="19.95" customHeight="1">
      <c r="A1008" s="5" t="str">
        <f>IF($G1008="","",INDEX('EDS Lookup'!$D$6:$D$2819,$G1008))</f>
        <v/>
      </c>
      <c r="B1008" s="5" t="str">
        <f>IF($G1008="","",INDEX('EDS Lookup'!$B$6:$B$2819,$G1008))</f>
        <v/>
      </c>
      <c r="C1008" s="17"/>
      <c r="D1008" s="6"/>
      <c r="E1008" s="7" t="str">
        <f>IF($G1008="","",INDEX('EDS Lookup'!$F$6:$F$2819,$G1008))</f>
        <v/>
      </c>
      <c r="F1008" s="8" t="str">
        <f>IF($G1008="","",INDEX('EDS Lookup'!$G$6:$G$2819,$G1008))</f>
        <v/>
      </c>
      <c r="G1008" t="str">
        <f>IF(985&lt;=$B$4,IFERROR(MATCH(985,'EDS Lookup'!$H$6:$H$2819,0),""),"")</f>
        <v/>
      </c>
      <c r="H1008" t="str">
        <f t="shared" si="15"/>
        <v/>
      </c>
    </row>
    <row r="1009" spans="1:8" ht="19.95" customHeight="1">
      <c r="A1009" s="5" t="str">
        <f>IF($G1009="","",INDEX('EDS Lookup'!$D$6:$D$2819,$G1009))</f>
        <v/>
      </c>
      <c r="B1009" s="5" t="str">
        <f>IF($G1009="","",INDEX('EDS Lookup'!$B$6:$B$2819,$G1009))</f>
        <v/>
      </c>
      <c r="C1009" s="17"/>
      <c r="D1009" s="6"/>
      <c r="E1009" s="7" t="str">
        <f>IF($G1009="","",INDEX('EDS Lookup'!$F$6:$F$2819,$G1009))</f>
        <v/>
      </c>
      <c r="F1009" s="8" t="str">
        <f>IF($G1009="","",INDEX('EDS Lookup'!$G$6:$G$2819,$G1009))</f>
        <v/>
      </c>
      <c r="G1009" t="str">
        <f>IF(986&lt;=$B$4,IFERROR(MATCH(986,'EDS Lookup'!$H$6:$H$2819,0),""),"")</f>
        <v/>
      </c>
      <c r="H1009" t="str">
        <f t="shared" si="15"/>
        <v/>
      </c>
    </row>
    <row r="1010" spans="1:8" ht="19.95" customHeight="1">
      <c r="A1010" s="5" t="str">
        <f>IF($G1010="","",INDEX('EDS Lookup'!$D$6:$D$2819,$G1010))</f>
        <v/>
      </c>
      <c r="B1010" s="5" t="str">
        <f>IF($G1010="","",INDEX('EDS Lookup'!$B$6:$B$2819,$G1010))</f>
        <v/>
      </c>
      <c r="C1010" s="17"/>
      <c r="D1010" s="6"/>
      <c r="E1010" s="7" t="str">
        <f>IF($G1010="","",INDEX('EDS Lookup'!$F$6:$F$2819,$G1010))</f>
        <v/>
      </c>
      <c r="F1010" s="8" t="str">
        <f>IF($G1010="","",INDEX('EDS Lookup'!$G$6:$G$2819,$G1010))</f>
        <v/>
      </c>
      <c r="G1010" t="str">
        <f>IF(987&lt;=$B$4,IFERROR(MATCH(987,'EDS Lookup'!$H$6:$H$2819,0),""),"")</f>
        <v/>
      </c>
      <c r="H1010" t="str">
        <f t="shared" si="15"/>
        <v/>
      </c>
    </row>
    <row r="1011" spans="1:8" ht="19.95" customHeight="1">
      <c r="A1011" s="5" t="str">
        <f>IF($G1011="","",INDEX('EDS Lookup'!$D$6:$D$2819,$G1011))</f>
        <v/>
      </c>
      <c r="B1011" s="5" t="str">
        <f>IF($G1011="","",INDEX('EDS Lookup'!$B$6:$B$2819,$G1011))</f>
        <v/>
      </c>
      <c r="C1011" s="17"/>
      <c r="D1011" s="6"/>
      <c r="E1011" s="7" t="str">
        <f>IF($G1011="","",INDEX('EDS Lookup'!$F$6:$F$2819,$G1011))</f>
        <v/>
      </c>
      <c r="F1011" s="8" t="str">
        <f>IF($G1011="","",INDEX('EDS Lookup'!$G$6:$G$2819,$G1011))</f>
        <v/>
      </c>
      <c r="G1011" t="str">
        <f>IF(988&lt;=$B$4,IFERROR(MATCH(988,'EDS Lookup'!$H$6:$H$2819,0),""),"")</f>
        <v/>
      </c>
      <c r="H1011" t="str">
        <f t="shared" si="15"/>
        <v/>
      </c>
    </row>
    <row r="1012" spans="1:8" ht="19.95" customHeight="1">
      <c r="A1012" s="5" t="str">
        <f>IF($G1012="","",INDEX('EDS Lookup'!$D$6:$D$2819,$G1012))</f>
        <v/>
      </c>
      <c r="B1012" s="5" t="str">
        <f>IF($G1012="","",INDEX('EDS Lookup'!$B$6:$B$2819,$G1012))</f>
        <v/>
      </c>
      <c r="C1012" s="17"/>
      <c r="D1012" s="6"/>
      <c r="E1012" s="7" t="str">
        <f>IF($G1012="","",INDEX('EDS Lookup'!$F$6:$F$2819,$G1012))</f>
        <v/>
      </c>
      <c r="F1012" s="8" t="str">
        <f>IF($G1012="","",INDEX('EDS Lookup'!$G$6:$G$2819,$G1012))</f>
        <v/>
      </c>
      <c r="G1012" t="str">
        <f>IF(989&lt;=$B$4,IFERROR(MATCH(989,'EDS Lookup'!$H$6:$H$2819,0),""),"")</f>
        <v/>
      </c>
      <c r="H1012" t="str">
        <f t="shared" si="15"/>
        <v/>
      </c>
    </row>
    <row r="1013" spans="1:8" ht="19.95" customHeight="1">
      <c r="A1013" s="5" t="str">
        <f>IF($G1013="","",INDEX('EDS Lookup'!$D$6:$D$2819,$G1013))</f>
        <v/>
      </c>
      <c r="B1013" s="5" t="str">
        <f>IF($G1013="","",INDEX('EDS Lookup'!$B$6:$B$2819,$G1013))</f>
        <v/>
      </c>
      <c r="C1013" s="17"/>
      <c r="D1013" s="6"/>
      <c r="E1013" s="7" t="str">
        <f>IF($G1013="","",INDEX('EDS Lookup'!$F$6:$F$2819,$G1013))</f>
        <v/>
      </c>
      <c r="F1013" s="8" t="str">
        <f>IF($G1013="","",INDEX('EDS Lookup'!$G$6:$G$2819,$G1013))</f>
        <v/>
      </c>
      <c r="G1013" t="str">
        <f>IF(990&lt;=$B$4,IFERROR(MATCH(990,'EDS Lookup'!$H$6:$H$2819,0),""),"")</f>
        <v/>
      </c>
      <c r="H1013" t="str">
        <f t="shared" si="15"/>
        <v/>
      </c>
    </row>
    <row r="1014" spans="1:8" ht="19.95" customHeight="1">
      <c r="A1014" s="5" t="str">
        <f>IF($G1014="","",INDEX('EDS Lookup'!$D$6:$D$2819,$G1014))</f>
        <v/>
      </c>
      <c r="B1014" s="5" t="str">
        <f>IF($G1014="","",INDEX('EDS Lookup'!$B$6:$B$2819,$G1014))</f>
        <v/>
      </c>
      <c r="C1014" s="17"/>
      <c r="D1014" s="6"/>
      <c r="E1014" s="7" t="str">
        <f>IF($G1014="","",INDEX('EDS Lookup'!$F$6:$F$2819,$G1014))</f>
        <v/>
      </c>
      <c r="F1014" s="8" t="str">
        <f>IF($G1014="","",INDEX('EDS Lookup'!$G$6:$G$2819,$G1014))</f>
        <v/>
      </c>
      <c r="G1014" t="str">
        <f>IF(991&lt;=$B$4,IFERROR(MATCH(991,'EDS Lookup'!$H$6:$H$2819,0),""),"")</f>
        <v/>
      </c>
      <c r="H1014" t="str">
        <f t="shared" si="15"/>
        <v/>
      </c>
    </row>
    <row r="1015" spans="1:8" ht="19.95" customHeight="1">
      <c r="A1015" s="5" t="str">
        <f>IF($G1015="","",INDEX('EDS Lookup'!$D$6:$D$2819,$G1015))</f>
        <v/>
      </c>
      <c r="B1015" s="5" t="str">
        <f>IF($G1015="","",INDEX('EDS Lookup'!$B$6:$B$2819,$G1015))</f>
        <v/>
      </c>
      <c r="C1015" s="17"/>
      <c r="D1015" s="6"/>
      <c r="E1015" s="7" t="str">
        <f>IF($G1015="","",INDEX('EDS Lookup'!$F$6:$F$2819,$G1015))</f>
        <v/>
      </c>
      <c r="F1015" s="8" t="str">
        <f>IF($G1015="","",INDEX('EDS Lookup'!$G$6:$G$2819,$G1015))</f>
        <v/>
      </c>
      <c r="G1015" t="str">
        <f>IF(992&lt;=$B$4,IFERROR(MATCH(992,'EDS Lookup'!$H$6:$H$2819,0),""),"")</f>
        <v/>
      </c>
      <c r="H1015" t="str">
        <f t="shared" si="15"/>
        <v/>
      </c>
    </row>
    <row r="1016" spans="1:8" ht="19.95" customHeight="1">
      <c r="A1016" s="5" t="str">
        <f>IF($G1016="","",INDEX('EDS Lookup'!$D$6:$D$2819,$G1016))</f>
        <v/>
      </c>
      <c r="B1016" s="5" t="str">
        <f>IF($G1016="","",INDEX('EDS Lookup'!$B$6:$B$2819,$G1016))</f>
        <v/>
      </c>
      <c r="C1016" s="17"/>
      <c r="D1016" s="6"/>
      <c r="E1016" s="7" t="str">
        <f>IF($G1016="","",INDEX('EDS Lookup'!$F$6:$F$2819,$G1016))</f>
        <v/>
      </c>
      <c r="F1016" s="8" t="str">
        <f>IF($G1016="","",INDEX('EDS Lookup'!$G$6:$G$2819,$G1016))</f>
        <v/>
      </c>
      <c r="G1016" t="str">
        <f>IF(993&lt;=$B$4,IFERROR(MATCH(993,'EDS Lookup'!$H$6:$H$2819,0),""),"")</f>
        <v/>
      </c>
      <c r="H1016" t="str">
        <f t="shared" si="15"/>
        <v/>
      </c>
    </row>
    <row r="1017" spans="1:8" ht="19.95" customHeight="1">
      <c r="A1017" s="5" t="str">
        <f>IF($G1017="","",INDEX('EDS Lookup'!$D$6:$D$2819,$G1017))</f>
        <v/>
      </c>
      <c r="B1017" s="5" t="str">
        <f>IF($G1017="","",INDEX('EDS Lookup'!$B$6:$B$2819,$G1017))</f>
        <v/>
      </c>
      <c r="C1017" s="17"/>
      <c r="D1017" s="6"/>
      <c r="E1017" s="7" t="str">
        <f>IF($G1017="","",INDEX('EDS Lookup'!$F$6:$F$2819,$G1017))</f>
        <v/>
      </c>
      <c r="F1017" s="8" t="str">
        <f>IF($G1017="","",INDEX('EDS Lookup'!$G$6:$G$2819,$G1017))</f>
        <v/>
      </c>
      <c r="G1017" t="str">
        <f>IF(994&lt;=$B$4,IFERROR(MATCH(994,'EDS Lookup'!$H$6:$H$2819,0),""),"")</f>
        <v/>
      </c>
      <c r="H1017" t="str">
        <f t="shared" si="15"/>
        <v/>
      </c>
    </row>
    <row r="1018" spans="1:8" ht="19.95" customHeight="1">
      <c r="A1018" s="5" t="str">
        <f>IF($G1018="","",INDEX('EDS Lookup'!$D$6:$D$2819,$G1018))</f>
        <v/>
      </c>
      <c r="B1018" s="5" t="str">
        <f>IF($G1018="","",INDEX('EDS Lookup'!$B$6:$B$2819,$G1018))</f>
        <v/>
      </c>
      <c r="C1018" s="17"/>
      <c r="D1018" s="6"/>
      <c r="E1018" s="7" t="str">
        <f>IF($G1018="","",INDEX('EDS Lookup'!$F$6:$F$2819,$G1018))</f>
        <v/>
      </c>
      <c r="F1018" s="8" t="str">
        <f>IF($G1018="","",INDEX('EDS Lookup'!$G$6:$G$2819,$G1018))</f>
        <v/>
      </c>
      <c r="G1018" t="str">
        <f>IF(995&lt;=$B$4,IFERROR(MATCH(995,'EDS Lookup'!$H$6:$H$2819,0),""),"")</f>
        <v/>
      </c>
      <c r="H1018" t="str">
        <f t="shared" si="15"/>
        <v/>
      </c>
    </row>
    <row r="1019" spans="1:8" ht="19.95" customHeight="1">
      <c r="A1019" s="5" t="str">
        <f>IF($G1019="","",INDEX('EDS Lookup'!$D$6:$D$2819,$G1019))</f>
        <v/>
      </c>
      <c r="B1019" s="5" t="str">
        <f>IF($G1019="","",INDEX('EDS Lookup'!$B$6:$B$2819,$G1019))</f>
        <v/>
      </c>
      <c r="C1019" s="17"/>
      <c r="D1019" s="6"/>
      <c r="E1019" s="7" t="str">
        <f>IF($G1019="","",INDEX('EDS Lookup'!$F$6:$F$2819,$G1019))</f>
        <v/>
      </c>
      <c r="F1019" s="8" t="str">
        <f>IF($G1019="","",INDEX('EDS Lookup'!$G$6:$G$2819,$G1019))</f>
        <v/>
      </c>
      <c r="G1019" t="str">
        <f>IF(996&lt;=$B$4,IFERROR(MATCH(996,'EDS Lookup'!$H$6:$H$2819,0),""),"")</f>
        <v/>
      </c>
      <c r="H1019" t="str">
        <f t="shared" si="15"/>
        <v/>
      </c>
    </row>
    <row r="1020" spans="1:8" ht="19.95" customHeight="1">
      <c r="A1020" s="5" t="str">
        <f>IF($G1020="","",INDEX('EDS Lookup'!$D$6:$D$2819,$G1020))</f>
        <v/>
      </c>
      <c r="B1020" s="5" t="str">
        <f>IF($G1020="","",INDEX('EDS Lookup'!$B$6:$B$2819,$G1020))</f>
        <v/>
      </c>
      <c r="C1020" s="17"/>
      <c r="D1020" s="6"/>
      <c r="E1020" s="7" t="str">
        <f>IF($G1020="","",INDEX('EDS Lookup'!$F$6:$F$2819,$G1020))</f>
        <v/>
      </c>
      <c r="F1020" s="8" t="str">
        <f>IF($G1020="","",INDEX('EDS Lookup'!$G$6:$G$2819,$G1020))</f>
        <v/>
      </c>
      <c r="G1020" t="str">
        <f>IF(997&lt;=$B$4,IFERROR(MATCH(997,'EDS Lookup'!$H$6:$H$2819,0),""),"")</f>
        <v/>
      </c>
      <c r="H1020" t="str">
        <f t="shared" si="15"/>
        <v/>
      </c>
    </row>
    <row r="1021" spans="1:8" ht="19.95" customHeight="1">
      <c r="A1021" s="5" t="str">
        <f>IF($G1021="","",INDEX('EDS Lookup'!$D$6:$D$2819,$G1021))</f>
        <v/>
      </c>
      <c r="B1021" s="5" t="str">
        <f>IF($G1021="","",INDEX('EDS Lookup'!$B$6:$B$2819,$G1021))</f>
        <v/>
      </c>
      <c r="C1021" s="17"/>
      <c r="D1021" s="6"/>
      <c r="E1021" s="7" t="str">
        <f>IF($G1021="","",INDEX('EDS Lookup'!$F$6:$F$2819,$G1021))</f>
        <v/>
      </c>
      <c r="F1021" s="8" t="str">
        <f>IF($G1021="","",INDEX('EDS Lookup'!$G$6:$G$2819,$G1021))</f>
        <v/>
      </c>
      <c r="G1021" t="str">
        <f>IF(998&lt;=$B$4,IFERROR(MATCH(998,'EDS Lookup'!$H$6:$H$2819,0),""),"")</f>
        <v/>
      </c>
      <c r="H1021" t="str">
        <f t="shared" si="15"/>
        <v/>
      </c>
    </row>
    <row r="1022" spans="1:8" ht="19.95" customHeight="1">
      <c r="A1022" s="5" t="str">
        <f>IF($G1022="","",INDEX('EDS Lookup'!$D$6:$D$2819,$G1022))</f>
        <v/>
      </c>
      <c r="B1022" s="5" t="str">
        <f>IF($G1022="","",INDEX('EDS Lookup'!$B$6:$B$2819,$G1022))</f>
        <v/>
      </c>
      <c r="C1022" s="17"/>
      <c r="D1022" s="6"/>
      <c r="E1022" s="7" t="str">
        <f>IF($G1022="","",INDEX('EDS Lookup'!$F$6:$F$2819,$G1022))</f>
        <v/>
      </c>
      <c r="F1022" s="8" t="str">
        <f>IF($G1022="","",INDEX('EDS Lookup'!$G$6:$G$2819,$G1022))</f>
        <v/>
      </c>
      <c r="G1022" t="str">
        <f>IF(999&lt;=$B$4,IFERROR(MATCH(999,'EDS Lookup'!$H$6:$H$2819,0),""),"")</f>
        <v/>
      </c>
      <c r="H1022" t="str">
        <f t="shared" si="15"/>
        <v/>
      </c>
    </row>
    <row r="1023" spans="1:8" ht="19.95" customHeight="1">
      <c r="A1023" s="5" t="str">
        <f>IF($G1023="","",INDEX('EDS Lookup'!$D$6:$D$2819,$G1023))</f>
        <v/>
      </c>
      <c r="B1023" s="5" t="str">
        <f>IF($G1023="","",INDEX('EDS Lookup'!$B$6:$B$2819,$G1023))</f>
        <v/>
      </c>
      <c r="C1023" s="17"/>
      <c r="D1023" s="6"/>
      <c r="E1023" s="7" t="str">
        <f>IF($G1023="","",INDEX('EDS Lookup'!$F$6:$F$2819,$G1023))</f>
        <v/>
      </c>
      <c r="F1023" s="8" t="str">
        <f>IF($G1023="","",INDEX('EDS Lookup'!$G$6:$G$2819,$G1023))</f>
        <v/>
      </c>
      <c r="G1023" t="str">
        <f>IF(1000&lt;=$B$4,IFERROR(MATCH(1000,'EDS Lookup'!$H$6:$H$2819,0),""),"")</f>
        <v/>
      </c>
      <c r="H1023" t="str">
        <f t="shared" si="15"/>
        <v/>
      </c>
    </row>
    <row r="1024" spans="1:8" ht="19.95" customHeight="1">
      <c r="A1024" s="5" t="str">
        <f>IF($G1024="","",INDEX('EDS Lookup'!$D$6:$D$2819,$G1024))</f>
        <v/>
      </c>
      <c r="B1024" s="5" t="str">
        <f>IF($G1024="","",INDEX('EDS Lookup'!$B$6:$B$2819,$G1024))</f>
        <v/>
      </c>
      <c r="C1024" s="17"/>
      <c r="D1024" s="6"/>
      <c r="E1024" s="7" t="str">
        <f>IF($G1024="","",INDEX('EDS Lookup'!$F$6:$F$2819,$G1024))</f>
        <v/>
      </c>
      <c r="F1024" s="8" t="str">
        <f>IF($G1024="","",INDEX('EDS Lookup'!$G$6:$G$2819,$G1024))</f>
        <v/>
      </c>
      <c r="G1024" t="str">
        <f>IF(1001&lt;=$B$4,IFERROR(MATCH(1001,'EDS Lookup'!$H$6:$H$2819,0),""),"")</f>
        <v/>
      </c>
      <c r="H1024" t="str">
        <f t="shared" si="15"/>
        <v/>
      </c>
    </row>
    <row r="1025" spans="1:8" ht="19.95" customHeight="1">
      <c r="A1025" s="5" t="str">
        <f>IF($G1025="","",INDEX('EDS Lookup'!$D$6:$D$2819,$G1025))</f>
        <v/>
      </c>
      <c r="B1025" s="5" t="str">
        <f>IF($G1025="","",INDEX('EDS Lookup'!$B$6:$B$2819,$G1025))</f>
        <v/>
      </c>
      <c r="C1025" s="17"/>
      <c r="D1025" s="6"/>
      <c r="E1025" s="7" t="str">
        <f>IF($G1025="","",INDEX('EDS Lookup'!$F$6:$F$2819,$G1025))</f>
        <v/>
      </c>
      <c r="F1025" s="8" t="str">
        <f>IF($G1025="","",INDEX('EDS Lookup'!$G$6:$G$2819,$G1025))</f>
        <v/>
      </c>
      <c r="G1025" t="str">
        <f>IF(1002&lt;=$B$4,IFERROR(MATCH(1002,'EDS Lookup'!$H$6:$H$2819,0),""),"")</f>
        <v/>
      </c>
      <c r="H1025" t="str">
        <f t="shared" si="15"/>
        <v/>
      </c>
    </row>
    <row r="1026" spans="1:8" ht="19.95" customHeight="1">
      <c r="A1026" s="5" t="str">
        <f>IF($G1026="","",INDEX('EDS Lookup'!$D$6:$D$2819,$G1026))</f>
        <v/>
      </c>
      <c r="B1026" s="5" t="str">
        <f>IF($G1026="","",INDEX('EDS Lookup'!$B$6:$B$2819,$G1026))</f>
        <v/>
      </c>
      <c r="C1026" s="17"/>
      <c r="D1026" s="6"/>
      <c r="E1026" s="7" t="str">
        <f>IF($G1026="","",INDEX('EDS Lookup'!$F$6:$F$2819,$G1026))</f>
        <v/>
      </c>
      <c r="F1026" s="8" t="str">
        <f>IF($G1026="","",INDEX('EDS Lookup'!$G$6:$G$2819,$G1026))</f>
        <v/>
      </c>
      <c r="G1026" t="str">
        <f>IF(1003&lt;=$B$4,IFERROR(MATCH(1003,'EDS Lookup'!$H$6:$H$2819,0),""),"")</f>
        <v/>
      </c>
      <c r="H1026" t="str">
        <f t="shared" si="15"/>
        <v/>
      </c>
    </row>
    <row r="1027" spans="1:8" ht="19.95" customHeight="1">
      <c r="A1027" s="5" t="str">
        <f>IF($G1027="","",INDEX('EDS Lookup'!$D$6:$D$2819,$G1027))</f>
        <v/>
      </c>
      <c r="B1027" s="5" t="str">
        <f>IF($G1027="","",INDEX('EDS Lookup'!$B$6:$B$2819,$G1027))</f>
        <v/>
      </c>
      <c r="C1027" s="17"/>
      <c r="D1027" s="6"/>
      <c r="E1027" s="7" t="str">
        <f>IF($G1027="","",INDEX('EDS Lookup'!$F$6:$F$2819,$G1027))</f>
        <v/>
      </c>
      <c r="F1027" s="8" t="str">
        <f>IF($G1027="","",INDEX('EDS Lookup'!$G$6:$G$2819,$G1027))</f>
        <v/>
      </c>
      <c r="G1027" t="str">
        <f>IF(1004&lt;=$B$4,IFERROR(MATCH(1004,'EDS Lookup'!$H$6:$H$2819,0),""),"")</f>
        <v/>
      </c>
      <c r="H1027" t="str">
        <f t="shared" si="15"/>
        <v/>
      </c>
    </row>
    <row r="1028" spans="1:8" ht="19.95" customHeight="1">
      <c r="A1028" s="5" t="str">
        <f>IF($G1028="","",INDEX('EDS Lookup'!$D$6:$D$2819,$G1028))</f>
        <v/>
      </c>
      <c r="B1028" s="5" t="str">
        <f>IF($G1028="","",INDEX('EDS Lookup'!$B$6:$B$2819,$G1028))</f>
        <v/>
      </c>
      <c r="C1028" s="17"/>
      <c r="D1028" s="6"/>
      <c r="E1028" s="7" t="str">
        <f>IF($G1028="","",INDEX('EDS Lookup'!$F$6:$F$2819,$G1028))</f>
        <v/>
      </c>
      <c r="F1028" s="8" t="str">
        <f>IF($G1028="","",INDEX('EDS Lookup'!$G$6:$G$2819,$G1028))</f>
        <v/>
      </c>
      <c r="G1028" t="str">
        <f>IF(1005&lt;=$B$4,IFERROR(MATCH(1005,'EDS Lookup'!$H$6:$H$2819,0),""),"")</f>
        <v/>
      </c>
      <c r="H1028" t="str">
        <f t="shared" si="15"/>
        <v/>
      </c>
    </row>
    <row r="1029" spans="1:8" ht="19.95" customHeight="1">
      <c r="A1029" s="5" t="str">
        <f>IF($G1029="","",INDEX('EDS Lookup'!$D$6:$D$2819,$G1029))</f>
        <v/>
      </c>
      <c r="B1029" s="5" t="str">
        <f>IF($G1029="","",INDEX('EDS Lookup'!$B$6:$B$2819,$G1029))</f>
        <v/>
      </c>
      <c r="C1029" s="17"/>
      <c r="D1029" s="6"/>
      <c r="E1029" s="7" t="str">
        <f>IF($G1029="","",INDEX('EDS Lookup'!$F$6:$F$2819,$G1029))</f>
        <v/>
      </c>
      <c r="F1029" s="8" t="str">
        <f>IF($G1029="","",INDEX('EDS Lookup'!$G$6:$G$2819,$G1029))</f>
        <v/>
      </c>
      <c r="G1029" t="str">
        <f>IF(1006&lt;=$B$4,IFERROR(MATCH(1006,'EDS Lookup'!$H$6:$H$2819,0),""),"")</f>
        <v/>
      </c>
      <c r="H1029" t="str">
        <f t="shared" si="15"/>
        <v/>
      </c>
    </row>
    <row r="1030" spans="1:8" ht="19.95" customHeight="1">
      <c r="A1030" s="5" t="str">
        <f>IF($G1030="","",INDEX('EDS Lookup'!$D$6:$D$2819,$G1030))</f>
        <v/>
      </c>
      <c r="B1030" s="5" t="str">
        <f>IF($G1030="","",INDEX('EDS Lookup'!$B$6:$B$2819,$G1030))</f>
        <v/>
      </c>
      <c r="C1030" s="17"/>
      <c r="D1030" s="6"/>
      <c r="E1030" s="7" t="str">
        <f>IF($G1030="","",INDEX('EDS Lookup'!$F$6:$F$2819,$G1030))</f>
        <v/>
      </c>
      <c r="F1030" s="8" t="str">
        <f>IF($G1030="","",INDEX('EDS Lookup'!$G$6:$G$2819,$G1030))</f>
        <v/>
      </c>
      <c r="G1030" t="str">
        <f>IF(1007&lt;=$B$4,IFERROR(MATCH(1007,'EDS Lookup'!$H$6:$H$2819,0),""),"")</f>
        <v/>
      </c>
      <c r="H1030" t="str">
        <f t="shared" si="15"/>
        <v/>
      </c>
    </row>
    <row r="1031" spans="1:8" ht="19.95" customHeight="1">
      <c r="A1031" s="5" t="str">
        <f>IF($G1031="","",INDEX('EDS Lookup'!$D$6:$D$2819,$G1031))</f>
        <v/>
      </c>
      <c r="B1031" s="5" t="str">
        <f>IF($G1031="","",INDEX('EDS Lookup'!$B$6:$B$2819,$G1031))</f>
        <v/>
      </c>
      <c r="C1031" s="17"/>
      <c r="D1031" s="6"/>
      <c r="E1031" s="7" t="str">
        <f>IF($G1031="","",INDEX('EDS Lookup'!$F$6:$F$2819,$G1031))</f>
        <v/>
      </c>
      <c r="F1031" s="8" t="str">
        <f>IF($G1031="","",INDEX('EDS Lookup'!$G$6:$G$2819,$G1031))</f>
        <v/>
      </c>
      <c r="G1031" t="str">
        <f>IF(1008&lt;=$B$4,IFERROR(MATCH(1008,'EDS Lookup'!$H$6:$H$2819,0),""),"")</f>
        <v/>
      </c>
      <c r="H1031" t="str">
        <f t="shared" si="15"/>
        <v/>
      </c>
    </row>
    <row r="1032" spans="1:8" ht="19.95" customHeight="1">
      <c r="A1032" s="5" t="str">
        <f>IF($G1032="","",INDEX('EDS Lookup'!$D$6:$D$2819,$G1032))</f>
        <v/>
      </c>
      <c r="B1032" s="5" t="str">
        <f>IF($G1032="","",INDEX('EDS Lookup'!$B$6:$B$2819,$G1032))</f>
        <v/>
      </c>
      <c r="C1032" s="17"/>
      <c r="D1032" s="6"/>
      <c r="E1032" s="7" t="str">
        <f>IF($G1032="","",INDEX('EDS Lookup'!$F$6:$F$2819,$G1032))</f>
        <v/>
      </c>
      <c r="F1032" s="8" t="str">
        <f>IF($G1032="","",INDEX('EDS Lookup'!$G$6:$G$2819,$G1032))</f>
        <v/>
      </c>
      <c r="G1032" t="str">
        <f>IF(1009&lt;=$B$4,IFERROR(MATCH(1009,'EDS Lookup'!$H$6:$H$2819,0),""),"")</f>
        <v/>
      </c>
      <c r="H1032" t="str">
        <f t="shared" si="15"/>
        <v/>
      </c>
    </row>
    <row r="1033" spans="1:8" ht="19.95" customHeight="1">
      <c r="A1033" s="5" t="str">
        <f>IF($G1033="","",INDEX('EDS Lookup'!$D$6:$D$2819,$G1033))</f>
        <v/>
      </c>
      <c r="B1033" s="5" t="str">
        <f>IF($G1033="","",INDEX('EDS Lookup'!$B$6:$B$2819,$G1033))</f>
        <v/>
      </c>
      <c r="C1033" s="17"/>
      <c r="D1033" s="6"/>
      <c r="E1033" s="7" t="str">
        <f>IF($G1033="","",INDEX('EDS Lookup'!$F$6:$F$2819,$G1033))</f>
        <v/>
      </c>
      <c r="F1033" s="8" t="str">
        <f>IF($G1033="","",INDEX('EDS Lookup'!$G$6:$G$2819,$G1033))</f>
        <v/>
      </c>
      <c r="G1033" t="str">
        <f>IF(1010&lt;=$B$4,IFERROR(MATCH(1010,'EDS Lookup'!$H$6:$H$2819,0),""),"")</f>
        <v/>
      </c>
      <c r="H1033" t="str">
        <f t="shared" si="15"/>
        <v/>
      </c>
    </row>
    <row r="1034" spans="1:8" ht="19.95" customHeight="1">
      <c r="A1034" s="5" t="str">
        <f>IF($G1034="","",INDEX('EDS Lookup'!$D$6:$D$2819,$G1034))</f>
        <v/>
      </c>
      <c r="B1034" s="5" t="str">
        <f>IF($G1034="","",INDEX('EDS Lookup'!$B$6:$B$2819,$G1034))</f>
        <v/>
      </c>
      <c r="C1034" s="17"/>
      <c r="D1034" s="6"/>
      <c r="E1034" s="7" t="str">
        <f>IF($G1034="","",INDEX('EDS Lookup'!$F$6:$F$2819,$G1034))</f>
        <v/>
      </c>
      <c r="F1034" s="8" t="str">
        <f>IF($G1034="","",INDEX('EDS Lookup'!$G$6:$G$2819,$G1034))</f>
        <v/>
      </c>
      <c r="G1034" t="str">
        <f>IF(1011&lt;=$B$4,IFERROR(MATCH(1011,'EDS Lookup'!$H$6:$H$2819,0),""),"")</f>
        <v/>
      </c>
      <c r="H1034" t="str">
        <f t="shared" si="15"/>
        <v/>
      </c>
    </row>
    <row r="1035" spans="1:8" ht="19.95" customHeight="1">
      <c r="A1035" s="5" t="str">
        <f>IF($G1035="","",INDEX('EDS Lookup'!$D$6:$D$2819,$G1035))</f>
        <v/>
      </c>
      <c r="B1035" s="5" t="str">
        <f>IF($G1035="","",INDEX('EDS Lookup'!$B$6:$B$2819,$G1035))</f>
        <v/>
      </c>
      <c r="C1035" s="17"/>
      <c r="D1035" s="6"/>
      <c r="E1035" s="7" t="str">
        <f>IF($G1035="","",INDEX('EDS Lookup'!$F$6:$F$2819,$G1035))</f>
        <v/>
      </c>
      <c r="F1035" s="8" t="str">
        <f>IF($G1035="","",INDEX('EDS Lookup'!$G$6:$G$2819,$G1035))</f>
        <v/>
      </c>
      <c r="G1035" t="str">
        <f>IF(1012&lt;=$B$4,IFERROR(MATCH(1012,'EDS Lookup'!$H$6:$H$2819,0),""),"")</f>
        <v/>
      </c>
      <c r="H1035" t="str">
        <f t="shared" si="15"/>
        <v/>
      </c>
    </row>
    <row r="1036" spans="1:8" ht="19.95" customHeight="1">
      <c r="A1036" s="5" t="str">
        <f>IF($G1036="","",INDEX('EDS Lookup'!$D$6:$D$2819,$G1036))</f>
        <v/>
      </c>
      <c r="B1036" s="5" t="str">
        <f>IF($G1036="","",INDEX('EDS Lookup'!$B$6:$B$2819,$G1036))</f>
        <v/>
      </c>
      <c r="C1036" s="17"/>
      <c r="D1036" s="6"/>
      <c r="E1036" s="7" t="str">
        <f>IF($G1036="","",INDEX('EDS Lookup'!$F$6:$F$2819,$G1036))</f>
        <v/>
      </c>
      <c r="F1036" s="8" t="str">
        <f>IF($G1036="","",INDEX('EDS Lookup'!$G$6:$G$2819,$G1036))</f>
        <v/>
      </c>
      <c r="G1036" t="str">
        <f>IF(1013&lt;=$B$4,IFERROR(MATCH(1013,'EDS Lookup'!$H$6:$H$2819,0),""),"")</f>
        <v/>
      </c>
      <c r="H1036" t="str">
        <f t="shared" si="15"/>
        <v/>
      </c>
    </row>
    <row r="1037" spans="1:8" ht="19.95" customHeight="1">
      <c r="A1037" s="5" t="str">
        <f>IF($G1037="","",INDEX('EDS Lookup'!$D$6:$D$2819,$G1037))</f>
        <v/>
      </c>
      <c r="B1037" s="5" t="str">
        <f>IF($G1037="","",INDEX('EDS Lookup'!$B$6:$B$2819,$G1037))</f>
        <v/>
      </c>
      <c r="C1037" s="17"/>
      <c r="D1037" s="6"/>
      <c r="E1037" s="7" t="str">
        <f>IF($G1037="","",INDEX('EDS Lookup'!$F$6:$F$2819,$G1037))</f>
        <v/>
      </c>
      <c r="F1037" s="8" t="str">
        <f>IF($G1037="","",INDEX('EDS Lookup'!$G$6:$G$2819,$G1037))</f>
        <v/>
      </c>
      <c r="G1037" t="str">
        <f>IF(1014&lt;=$B$4,IFERROR(MATCH(1014,'EDS Lookup'!$H$6:$H$2819,0),""),"")</f>
        <v/>
      </c>
      <c r="H1037" t="str">
        <f t="shared" si="15"/>
        <v/>
      </c>
    </row>
    <row r="1038" spans="1:8" ht="19.95" customHeight="1">
      <c r="A1038" s="5" t="str">
        <f>IF($G1038="","",INDEX('EDS Lookup'!$D$6:$D$2819,$G1038))</f>
        <v/>
      </c>
      <c r="B1038" s="5" t="str">
        <f>IF($G1038="","",INDEX('EDS Lookup'!$B$6:$B$2819,$G1038))</f>
        <v/>
      </c>
      <c r="C1038" s="17"/>
      <c r="D1038" s="6"/>
      <c r="E1038" s="7" t="str">
        <f>IF($G1038="","",INDEX('EDS Lookup'!$F$6:$F$2819,$G1038))</f>
        <v/>
      </c>
      <c r="F1038" s="8" t="str">
        <f>IF($G1038="","",INDEX('EDS Lookup'!$G$6:$G$2819,$G1038))</f>
        <v/>
      </c>
      <c r="G1038" t="str">
        <f>IF(1015&lt;=$B$4,IFERROR(MATCH(1015,'EDS Lookup'!$H$6:$H$2819,0),""),"")</f>
        <v/>
      </c>
      <c r="H1038" t="str">
        <f t="shared" si="15"/>
        <v/>
      </c>
    </row>
    <row r="1039" spans="1:8" ht="19.95" customHeight="1">
      <c r="A1039" s="5" t="str">
        <f>IF($G1039="","",INDEX('EDS Lookup'!$D$6:$D$2819,$G1039))</f>
        <v/>
      </c>
      <c r="B1039" s="5" t="str">
        <f>IF($G1039="","",INDEX('EDS Lookup'!$B$6:$B$2819,$G1039))</f>
        <v/>
      </c>
      <c r="C1039" s="17"/>
      <c r="D1039" s="6"/>
      <c r="E1039" s="7" t="str">
        <f>IF($G1039="","",INDEX('EDS Lookup'!$F$6:$F$2819,$G1039))</f>
        <v/>
      </c>
      <c r="F1039" s="8" t="str">
        <f>IF($G1039="","",INDEX('EDS Lookup'!$G$6:$G$2819,$G1039))</f>
        <v/>
      </c>
      <c r="G1039" t="str">
        <f>IF(1016&lt;=$B$4,IFERROR(MATCH(1016,'EDS Lookup'!$H$6:$H$2819,0),""),"")</f>
        <v/>
      </c>
      <c r="H1039" t="str">
        <f t="shared" si="15"/>
        <v/>
      </c>
    </row>
    <row r="1040" spans="1:8" ht="19.95" customHeight="1">
      <c r="A1040" s="5" t="str">
        <f>IF($G1040="","",INDEX('EDS Lookup'!$D$6:$D$2819,$G1040))</f>
        <v/>
      </c>
      <c r="B1040" s="5" t="str">
        <f>IF($G1040="","",INDEX('EDS Lookup'!$B$6:$B$2819,$G1040))</f>
        <v/>
      </c>
      <c r="C1040" s="17"/>
      <c r="D1040" s="6"/>
      <c r="E1040" s="7" t="str">
        <f>IF($G1040="","",INDEX('EDS Lookup'!$F$6:$F$2819,$G1040))</f>
        <v/>
      </c>
      <c r="F1040" s="8" t="str">
        <f>IF($G1040="","",INDEX('EDS Lookup'!$G$6:$G$2819,$G1040))</f>
        <v/>
      </c>
      <c r="G1040" t="str">
        <f>IF(1017&lt;=$B$4,IFERROR(MATCH(1017,'EDS Lookup'!$H$6:$H$2819,0),""),"")</f>
        <v/>
      </c>
      <c r="H1040" t="str">
        <f t="shared" si="15"/>
        <v/>
      </c>
    </row>
    <row r="1041" spans="1:8" ht="19.95" customHeight="1">
      <c r="A1041" s="5" t="str">
        <f>IF($G1041="","",INDEX('EDS Lookup'!$D$6:$D$2819,$G1041))</f>
        <v/>
      </c>
      <c r="B1041" s="5" t="str">
        <f>IF($G1041="","",INDEX('EDS Lookup'!$B$6:$B$2819,$G1041))</f>
        <v/>
      </c>
      <c r="C1041" s="17"/>
      <c r="D1041" s="6"/>
      <c r="E1041" s="7" t="str">
        <f>IF($G1041="","",INDEX('EDS Lookup'!$F$6:$F$2819,$G1041))</f>
        <v/>
      </c>
      <c r="F1041" s="8" t="str">
        <f>IF($G1041="","",INDEX('EDS Lookup'!$G$6:$G$2819,$G1041))</f>
        <v/>
      </c>
      <c r="G1041" t="str">
        <f>IF(1018&lt;=$B$4,IFERROR(MATCH(1018,'EDS Lookup'!$H$6:$H$2819,0),""),"")</f>
        <v/>
      </c>
      <c r="H1041" t="str">
        <f t="shared" si="15"/>
        <v/>
      </c>
    </row>
    <row r="1042" spans="1:8" ht="19.95" customHeight="1">
      <c r="A1042" s="5" t="str">
        <f>IF($G1042="","",INDEX('EDS Lookup'!$D$6:$D$2819,$G1042))</f>
        <v/>
      </c>
      <c r="B1042" s="5" t="str">
        <f>IF($G1042="","",INDEX('EDS Lookup'!$B$6:$B$2819,$G1042))</f>
        <v/>
      </c>
      <c r="C1042" s="17"/>
      <c r="D1042" s="6"/>
      <c r="E1042" s="7" t="str">
        <f>IF($G1042="","",INDEX('EDS Lookup'!$F$6:$F$2819,$G1042))</f>
        <v/>
      </c>
      <c r="F1042" s="8" t="str">
        <f>IF($G1042="","",INDEX('EDS Lookup'!$G$6:$G$2819,$G1042))</f>
        <v/>
      </c>
      <c r="G1042" t="str">
        <f>IF(1019&lt;=$B$4,IFERROR(MATCH(1019,'EDS Lookup'!$H$6:$H$2819,0),""),"")</f>
        <v/>
      </c>
      <c r="H1042" t="str">
        <f t="shared" si="15"/>
        <v/>
      </c>
    </row>
    <row r="1043" spans="1:8" ht="19.95" customHeight="1">
      <c r="A1043" s="5" t="str">
        <f>IF($G1043="","",INDEX('EDS Lookup'!$D$6:$D$2819,$G1043))</f>
        <v/>
      </c>
      <c r="B1043" s="5" t="str">
        <f>IF($G1043="","",INDEX('EDS Lookup'!$B$6:$B$2819,$G1043))</f>
        <v/>
      </c>
      <c r="C1043" s="17"/>
      <c r="D1043" s="6"/>
      <c r="E1043" s="7" t="str">
        <f>IF($G1043="","",INDEX('EDS Lookup'!$F$6:$F$2819,$G1043))</f>
        <v/>
      </c>
      <c r="F1043" s="8" t="str">
        <f>IF($G1043="","",INDEX('EDS Lookup'!$G$6:$G$2819,$G1043))</f>
        <v/>
      </c>
      <c r="G1043" t="str">
        <f>IF(1020&lt;=$B$4,IFERROR(MATCH(1020,'EDS Lookup'!$H$6:$H$2819,0),""),"")</f>
        <v/>
      </c>
      <c r="H1043" t="str">
        <f t="shared" si="15"/>
        <v/>
      </c>
    </row>
    <row r="1044" spans="1:8" ht="19.95" customHeight="1">
      <c r="A1044" s="5" t="str">
        <f>IF($G1044="","",INDEX('EDS Lookup'!$D$6:$D$2819,$G1044))</f>
        <v/>
      </c>
      <c r="B1044" s="5" t="str">
        <f>IF($G1044="","",INDEX('EDS Lookup'!$B$6:$B$2819,$G1044))</f>
        <v/>
      </c>
      <c r="C1044" s="17"/>
      <c r="D1044" s="6"/>
      <c r="E1044" s="7" t="str">
        <f>IF($G1044="","",INDEX('EDS Lookup'!$F$6:$F$2819,$G1044))</f>
        <v/>
      </c>
      <c r="F1044" s="8" t="str">
        <f>IF($G1044="","",INDEX('EDS Lookup'!$G$6:$G$2819,$G1044))</f>
        <v/>
      </c>
      <c r="G1044" t="str">
        <f>IF(1021&lt;=$B$4,IFERROR(MATCH(1021,'EDS Lookup'!$H$6:$H$2819,0),""),"")</f>
        <v/>
      </c>
      <c r="H1044" t="str">
        <f t="shared" si="15"/>
        <v/>
      </c>
    </row>
    <row r="1045" spans="1:8" ht="19.95" customHeight="1">
      <c r="A1045" s="5" t="str">
        <f>IF($G1045="","",INDEX('EDS Lookup'!$D$6:$D$2819,$G1045))</f>
        <v/>
      </c>
      <c r="B1045" s="5" t="str">
        <f>IF($G1045="","",INDEX('EDS Lookup'!$B$6:$B$2819,$G1045))</f>
        <v/>
      </c>
      <c r="C1045" s="17"/>
      <c r="D1045" s="6"/>
      <c r="E1045" s="7" t="str">
        <f>IF($G1045="","",INDEX('EDS Lookup'!$F$6:$F$2819,$G1045))</f>
        <v/>
      </c>
      <c r="F1045" s="8" t="str">
        <f>IF($G1045="","",INDEX('EDS Lookup'!$G$6:$G$2819,$G1045))</f>
        <v/>
      </c>
      <c r="G1045" t="str">
        <f>IF(1022&lt;=$B$4,IFERROR(MATCH(1022,'EDS Lookup'!$H$6:$H$2819,0),""),"")</f>
        <v/>
      </c>
      <c r="H1045" t="str">
        <f t="shared" si="15"/>
        <v/>
      </c>
    </row>
    <row r="1046" spans="1:8" ht="19.95" customHeight="1">
      <c r="A1046" s="5" t="str">
        <f>IF($G1046="","",INDEX('EDS Lookup'!$D$6:$D$2819,$G1046))</f>
        <v/>
      </c>
      <c r="B1046" s="5" t="str">
        <f>IF($G1046="","",INDEX('EDS Lookup'!$B$6:$B$2819,$G1046))</f>
        <v/>
      </c>
      <c r="C1046" s="17"/>
      <c r="D1046" s="6"/>
      <c r="E1046" s="7" t="str">
        <f>IF($G1046="","",INDEX('EDS Lookup'!$F$6:$F$2819,$G1046))</f>
        <v/>
      </c>
      <c r="F1046" s="8" t="str">
        <f>IF($G1046="","",INDEX('EDS Lookup'!$G$6:$G$2819,$G1046))</f>
        <v/>
      </c>
      <c r="G1046" t="str">
        <f>IF(1023&lt;=$B$4,IFERROR(MATCH(1023,'EDS Lookup'!$H$6:$H$2819,0),""),"")</f>
        <v/>
      </c>
      <c r="H1046" t="str">
        <f t="shared" si="15"/>
        <v/>
      </c>
    </row>
    <row r="1047" spans="1:8" ht="19.95" customHeight="1">
      <c r="A1047" s="5" t="str">
        <f>IF($G1047="","",INDEX('EDS Lookup'!$D$6:$D$2819,$G1047))</f>
        <v/>
      </c>
      <c r="B1047" s="5" t="str">
        <f>IF($G1047="","",INDEX('EDS Lookup'!$B$6:$B$2819,$G1047))</f>
        <v/>
      </c>
      <c r="C1047" s="17"/>
      <c r="D1047" s="6"/>
      <c r="E1047" s="7" t="str">
        <f>IF($G1047="","",INDEX('EDS Lookup'!$F$6:$F$2819,$G1047))</f>
        <v/>
      </c>
      <c r="F1047" s="8" t="str">
        <f>IF($G1047="","",INDEX('EDS Lookup'!$G$6:$G$2819,$G1047))</f>
        <v/>
      </c>
      <c r="G1047" t="str">
        <f>IF(1024&lt;=$B$4,IFERROR(MATCH(1024,'EDS Lookup'!$H$6:$H$2819,0),""),"")</f>
        <v/>
      </c>
      <c r="H1047" t="str">
        <f t="shared" si="15"/>
        <v/>
      </c>
    </row>
    <row r="1048" spans="1:8" ht="19.95" customHeight="1">
      <c r="A1048" s="5" t="str">
        <f>IF($G1048="","",INDEX('EDS Lookup'!$D$6:$D$2819,$G1048))</f>
        <v/>
      </c>
      <c r="B1048" s="5" t="str">
        <f>IF($G1048="","",INDEX('EDS Lookup'!$B$6:$B$2819,$G1048))</f>
        <v/>
      </c>
      <c r="C1048" s="17"/>
      <c r="D1048" s="6"/>
      <c r="E1048" s="7" t="str">
        <f>IF($G1048="","",INDEX('EDS Lookup'!$F$6:$F$2819,$G1048))</f>
        <v/>
      </c>
      <c r="F1048" s="8" t="str">
        <f>IF($G1048="","",INDEX('EDS Lookup'!$G$6:$G$2819,$G1048))</f>
        <v/>
      </c>
      <c r="G1048" t="str">
        <f>IF(1025&lt;=$B$4,IFERROR(MATCH(1025,'EDS Lookup'!$H$6:$H$2819,0),""),"")</f>
        <v/>
      </c>
      <c r="H1048" t="str">
        <f t="shared" ref="H1048:H1111" si="16">IF(F1048="&lt;5",5,IF(F1048="&gt;95",95,IF(ISNUMBER(F1048),F1048,"")))</f>
        <v/>
      </c>
    </row>
    <row r="1049" spans="1:8" ht="19.95" customHeight="1">
      <c r="A1049" s="5" t="str">
        <f>IF($G1049="","",INDEX('EDS Lookup'!$D$6:$D$2819,$G1049))</f>
        <v/>
      </c>
      <c r="B1049" s="5" t="str">
        <f>IF($G1049="","",INDEX('EDS Lookup'!$B$6:$B$2819,$G1049))</f>
        <v/>
      </c>
      <c r="C1049" s="17"/>
      <c r="D1049" s="6"/>
      <c r="E1049" s="7" t="str">
        <f>IF($G1049="","",INDEX('EDS Lookup'!$F$6:$F$2819,$G1049))</f>
        <v/>
      </c>
      <c r="F1049" s="8" t="str">
        <f>IF($G1049="","",INDEX('EDS Lookup'!$G$6:$G$2819,$G1049))</f>
        <v/>
      </c>
      <c r="G1049" t="str">
        <f>IF(1026&lt;=$B$4,IFERROR(MATCH(1026,'EDS Lookup'!$H$6:$H$2819,0),""),"")</f>
        <v/>
      </c>
      <c r="H1049" t="str">
        <f t="shared" si="16"/>
        <v/>
      </c>
    </row>
    <row r="1050" spans="1:8" ht="19.95" customHeight="1">
      <c r="A1050" s="5" t="str">
        <f>IF($G1050="","",INDEX('EDS Lookup'!$D$6:$D$2819,$G1050))</f>
        <v/>
      </c>
      <c r="B1050" s="5" t="str">
        <f>IF($G1050="","",INDEX('EDS Lookup'!$B$6:$B$2819,$G1050))</f>
        <v/>
      </c>
      <c r="C1050" s="17"/>
      <c r="D1050" s="6"/>
      <c r="E1050" s="7" t="str">
        <f>IF($G1050="","",INDEX('EDS Lookup'!$F$6:$F$2819,$G1050))</f>
        <v/>
      </c>
      <c r="F1050" s="8" t="str">
        <f>IF($G1050="","",INDEX('EDS Lookup'!$G$6:$G$2819,$G1050))</f>
        <v/>
      </c>
      <c r="G1050" t="str">
        <f>IF(1027&lt;=$B$4,IFERROR(MATCH(1027,'EDS Lookup'!$H$6:$H$2819,0),""),"")</f>
        <v/>
      </c>
      <c r="H1050" t="str">
        <f t="shared" si="16"/>
        <v/>
      </c>
    </row>
    <row r="1051" spans="1:8" ht="19.95" customHeight="1">
      <c r="A1051" s="5" t="str">
        <f>IF($G1051="","",INDEX('EDS Lookup'!$D$6:$D$2819,$G1051))</f>
        <v/>
      </c>
      <c r="B1051" s="5" t="str">
        <f>IF($G1051="","",INDEX('EDS Lookup'!$B$6:$B$2819,$G1051))</f>
        <v/>
      </c>
      <c r="C1051" s="17"/>
      <c r="D1051" s="6"/>
      <c r="E1051" s="7" t="str">
        <f>IF($G1051="","",INDEX('EDS Lookup'!$F$6:$F$2819,$G1051))</f>
        <v/>
      </c>
      <c r="F1051" s="8" t="str">
        <f>IF($G1051="","",INDEX('EDS Lookup'!$G$6:$G$2819,$G1051))</f>
        <v/>
      </c>
      <c r="G1051" t="str">
        <f>IF(1028&lt;=$B$4,IFERROR(MATCH(1028,'EDS Lookup'!$H$6:$H$2819,0),""),"")</f>
        <v/>
      </c>
      <c r="H1051" t="str">
        <f t="shared" si="16"/>
        <v/>
      </c>
    </row>
    <row r="1052" spans="1:8" ht="19.95" customHeight="1">
      <c r="A1052" s="5" t="str">
        <f>IF($G1052="","",INDEX('EDS Lookup'!$D$6:$D$2819,$G1052))</f>
        <v/>
      </c>
      <c r="B1052" s="5" t="str">
        <f>IF($G1052="","",INDEX('EDS Lookup'!$B$6:$B$2819,$G1052))</f>
        <v/>
      </c>
      <c r="C1052" s="17"/>
      <c r="D1052" s="6"/>
      <c r="E1052" s="7" t="str">
        <f>IF($G1052="","",INDEX('EDS Lookup'!$F$6:$F$2819,$G1052))</f>
        <v/>
      </c>
      <c r="F1052" s="8" t="str">
        <f>IF($G1052="","",INDEX('EDS Lookup'!$G$6:$G$2819,$G1052))</f>
        <v/>
      </c>
      <c r="G1052" t="str">
        <f>IF(1029&lt;=$B$4,IFERROR(MATCH(1029,'EDS Lookup'!$H$6:$H$2819,0),""),"")</f>
        <v/>
      </c>
      <c r="H1052" t="str">
        <f t="shared" si="16"/>
        <v/>
      </c>
    </row>
    <row r="1053" spans="1:8" ht="19.95" customHeight="1">
      <c r="A1053" s="5" t="str">
        <f>IF($G1053="","",INDEX('EDS Lookup'!$D$6:$D$2819,$G1053))</f>
        <v/>
      </c>
      <c r="B1053" s="5" t="str">
        <f>IF($G1053="","",INDEX('EDS Lookup'!$B$6:$B$2819,$G1053))</f>
        <v/>
      </c>
      <c r="C1053" s="17"/>
      <c r="D1053" s="6"/>
      <c r="E1053" s="7" t="str">
        <f>IF($G1053="","",INDEX('EDS Lookup'!$F$6:$F$2819,$G1053))</f>
        <v/>
      </c>
      <c r="F1053" s="8" t="str">
        <f>IF($G1053="","",INDEX('EDS Lookup'!$G$6:$G$2819,$G1053))</f>
        <v/>
      </c>
      <c r="G1053" t="str">
        <f>IF(1030&lt;=$B$4,IFERROR(MATCH(1030,'EDS Lookup'!$H$6:$H$2819,0),""),"")</f>
        <v/>
      </c>
      <c r="H1053" t="str">
        <f t="shared" si="16"/>
        <v/>
      </c>
    </row>
    <row r="1054" spans="1:8" ht="19.95" customHeight="1">
      <c r="A1054" s="5" t="str">
        <f>IF($G1054="","",INDEX('EDS Lookup'!$D$6:$D$2819,$G1054))</f>
        <v/>
      </c>
      <c r="B1054" s="5" t="str">
        <f>IF($G1054="","",INDEX('EDS Lookup'!$B$6:$B$2819,$G1054))</f>
        <v/>
      </c>
      <c r="C1054" s="17"/>
      <c r="D1054" s="6"/>
      <c r="E1054" s="7" t="str">
        <f>IF($G1054="","",INDEX('EDS Lookup'!$F$6:$F$2819,$G1054))</f>
        <v/>
      </c>
      <c r="F1054" s="8" t="str">
        <f>IF($G1054="","",INDEX('EDS Lookup'!$G$6:$G$2819,$G1054))</f>
        <v/>
      </c>
      <c r="G1054" t="str">
        <f>IF(1031&lt;=$B$4,IFERROR(MATCH(1031,'EDS Lookup'!$H$6:$H$2819,0),""),"")</f>
        <v/>
      </c>
      <c r="H1054" t="str">
        <f t="shared" si="16"/>
        <v/>
      </c>
    </row>
    <row r="1055" spans="1:8" ht="19.95" customHeight="1">
      <c r="A1055" s="5" t="str">
        <f>IF($G1055="","",INDEX('EDS Lookup'!$D$6:$D$2819,$G1055))</f>
        <v/>
      </c>
      <c r="B1055" s="5" t="str">
        <f>IF($G1055="","",INDEX('EDS Lookup'!$B$6:$B$2819,$G1055))</f>
        <v/>
      </c>
      <c r="C1055" s="17"/>
      <c r="D1055" s="6"/>
      <c r="E1055" s="7" t="str">
        <f>IF($G1055="","",INDEX('EDS Lookup'!$F$6:$F$2819,$G1055))</f>
        <v/>
      </c>
      <c r="F1055" s="8" t="str">
        <f>IF($G1055="","",INDEX('EDS Lookup'!$G$6:$G$2819,$G1055))</f>
        <v/>
      </c>
      <c r="G1055" t="str">
        <f>IF(1032&lt;=$B$4,IFERROR(MATCH(1032,'EDS Lookup'!$H$6:$H$2819,0),""),"")</f>
        <v/>
      </c>
      <c r="H1055" t="str">
        <f t="shared" si="16"/>
        <v/>
      </c>
    </row>
    <row r="1056" spans="1:8" ht="19.95" customHeight="1">
      <c r="A1056" s="5" t="str">
        <f>IF($G1056="","",INDEX('EDS Lookup'!$D$6:$D$2819,$G1056))</f>
        <v/>
      </c>
      <c r="B1056" s="5" t="str">
        <f>IF($G1056="","",INDEX('EDS Lookup'!$B$6:$B$2819,$G1056))</f>
        <v/>
      </c>
      <c r="C1056" s="17"/>
      <c r="D1056" s="6"/>
      <c r="E1056" s="7" t="str">
        <f>IF($G1056="","",INDEX('EDS Lookup'!$F$6:$F$2819,$G1056))</f>
        <v/>
      </c>
      <c r="F1056" s="8" t="str">
        <f>IF($G1056="","",INDEX('EDS Lookup'!$G$6:$G$2819,$G1056))</f>
        <v/>
      </c>
      <c r="G1056" t="str">
        <f>IF(1033&lt;=$B$4,IFERROR(MATCH(1033,'EDS Lookup'!$H$6:$H$2819,0),""),"")</f>
        <v/>
      </c>
      <c r="H1056" t="str">
        <f t="shared" si="16"/>
        <v/>
      </c>
    </row>
    <row r="1057" spans="1:8" ht="19.95" customHeight="1">
      <c r="A1057" s="5" t="str">
        <f>IF($G1057="","",INDEX('EDS Lookup'!$D$6:$D$2819,$G1057))</f>
        <v/>
      </c>
      <c r="B1057" s="5" t="str">
        <f>IF($G1057="","",INDEX('EDS Lookup'!$B$6:$B$2819,$G1057))</f>
        <v/>
      </c>
      <c r="C1057" s="17"/>
      <c r="D1057" s="6"/>
      <c r="E1057" s="7" t="str">
        <f>IF($G1057="","",INDEX('EDS Lookup'!$F$6:$F$2819,$G1057))</f>
        <v/>
      </c>
      <c r="F1057" s="8" t="str">
        <f>IF($G1057="","",INDEX('EDS Lookup'!$G$6:$G$2819,$G1057))</f>
        <v/>
      </c>
      <c r="G1057" t="str">
        <f>IF(1034&lt;=$B$4,IFERROR(MATCH(1034,'EDS Lookup'!$H$6:$H$2819,0),""),"")</f>
        <v/>
      </c>
      <c r="H1057" t="str">
        <f t="shared" si="16"/>
        <v/>
      </c>
    </row>
    <row r="1058" spans="1:8" ht="19.95" customHeight="1">
      <c r="A1058" s="5" t="str">
        <f>IF($G1058="","",INDEX('EDS Lookup'!$D$6:$D$2819,$G1058))</f>
        <v/>
      </c>
      <c r="B1058" s="5" t="str">
        <f>IF($G1058="","",INDEX('EDS Lookup'!$B$6:$B$2819,$G1058))</f>
        <v/>
      </c>
      <c r="C1058" s="17"/>
      <c r="D1058" s="6"/>
      <c r="E1058" s="7" t="str">
        <f>IF($G1058="","",INDEX('EDS Lookup'!$F$6:$F$2819,$G1058))</f>
        <v/>
      </c>
      <c r="F1058" s="8" t="str">
        <f>IF($G1058="","",INDEX('EDS Lookup'!$G$6:$G$2819,$G1058))</f>
        <v/>
      </c>
      <c r="G1058" t="str">
        <f>IF(1035&lt;=$B$4,IFERROR(MATCH(1035,'EDS Lookup'!$H$6:$H$2819,0),""),"")</f>
        <v/>
      </c>
      <c r="H1058" t="str">
        <f t="shared" si="16"/>
        <v/>
      </c>
    </row>
    <row r="1059" spans="1:8" ht="19.95" customHeight="1">
      <c r="A1059" s="5" t="str">
        <f>IF($G1059="","",INDEX('EDS Lookup'!$D$6:$D$2819,$G1059))</f>
        <v/>
      </c>
      <c r="B1059" s="5" t="str">
        <f>IF($G1059="","",INDEX('EDS Lookup'!$B$6:$B$2819,$G1059))</f>
        <v/>
      </c>
      <c r="C1059" s="17"/>
      <c r="D1059" s="6"/>
      <c r="E1059" s="7" t="str">
        <f>IF($G1059="","",INDEX('EDS Lookup'!$F$6:$F$2819,$G1059))</f>
        <v/>
      </c>
      <c r="F1059" s="8" t="str">
        <f>IF($G1059="","",INDEX('EDS Lookup'!$G$6:$G$2819,$G1059))</f>
        <v/>
      </c>
      <c r="G1059" t="str">
        <f>IF(1036&lt;=$B$4,IFERROR(MATCH(1036,'EDS Lookup'!$H$6:$H$2819,0),""),"")</f>
        <v/>
      </c>
      <c r="H1059" t="str">
        <f t="shared" si="16"/>
        <v/>
      </c>
    </row>
    <row r="1060" spans="1:8" ht="19.95" customHeight="1">
      <c r="A1060" s="5" t="str">
        <f>IF($G1060="","",INDEX('EDS Lookup'!$D$6:$D$2819,$G1060))</f>
        <v/>
      </c>
      <c r="B1060" s="5" t="str">
        <f>IF($G1060="","",INDEX('EDS Lookup'!$B$6:$B$2819,$G1060))</f>
        <v/>
      </c>
      <c r="C1060" s="17"/>
      <c r="D1060" s="6"/>
      <c r="E1060" s="7" t="str">
        <f>IF($G1060="","",INDEX('EDS Lookup'!$F$6:$F$2819,$G1060))</f>
        <v/>
      </c>
      <c r="F1060" s="8" t="str">
        <f>IF($G1060="","",INDEX('EDS Lookup'!$G$6:$G$2819,$G1060))</f>
        <v/>
      </c>
      <c r="G1060" t="str">
        <f>IF(1037&lt;=$B$4,IFERROR(MATCH(1037,'EDS Lookup'!$H$6:$H$2819,0),""),"")</f>
        <v/>
      </c>
      <c r="H1060" t="str">
        <f t="shared" si="16"/>
        <v/>
      </c>
    </row>
    <row r="1061" spans="1:8" ht="19.95" customHeight="1">
      <c r="A1061" s="5" t="str">
        <f>IF($G1061="","",INDEX('EDS Lookup'!$D$6:$D$2819,$G1061))</f>
        <v/>
      </c>
      <c r="B1061" s="5" t="str">
        <f>IF($G1061="","",INDEX('EDS Lookup'!$B$6:$B$2819,$G1061))</f>
        <v/>
      </c>
      <c r="C1061" s="17"/>
      <c r="D1061" s="6"/>
      <c r="E1061" s="7" t="str">
        <f>IF($G1061="","",INDEX('EDS Lookup'!$F$6:$F$2819,$G1061))</f>
        <v/>
      </c>
      <c r="F1061" s="8" t="str">
        <f>IF($G1061="","",INDEX('EDS Lookup'!$G$6:$G$2819,$G1061))</f>
        <v/>
      </c>
      <c r="G1061" t="str">
        <f>IF(1038&lt;=$B$4,IFERROR(MATCH(1038,'EDS Lookup'!$H$6:$H$2819,0),""),"")</f>
        <v/>
      </c>
      <c r="H1061" t="str">
        <f t="shared" si="16"/>
        <v/>
      </c>
    </row>
    <row r="1062" spans="1:8" ht="19.95" customHeight="1">
      <c r="A1062" s="5" t="str">
        <f>IF($G1062="","",INDEX('EDS Lookup'!$D$6:$D$2819,$G1062))</f>
        <v/>
      </c>
      <c r="B1062" s="5" t="str">
        <f>IF($G1062="","",INDEX('EDS Lookup'!$B$6:$B$2819,$G1062))</f>
        <v/>
      </c>
      <c r="C1062" s="17"/>
      <c r="D1062" s="6"/>
      <c r="E1062" s="7" t="str">
        <f>IF($G1062="","",INDEX('EDS Lookup'!$F$6:$F$2819,$G1062))</f>
        <v/>
      </c>
      <c r="F1062" s="8" t="str">
        <f>IF($G1062="","",INDEX('EDS Lookup'!$G$6:$G$2819,$G1062))</f>
        <v/>
      </c>
      <c r="G1062" t="str">
        <f>IF(1039&lt;=$B$4,IFERROR(MATCH(1039,'EDS Lookup'!$H$6:$H$2819,0),""),"")</f>
        <v/>
      </c>
      <c r="H1062" t="str">
        <f t="shared" si="16"/>
        <v/>
      </c>
    </row>
    <row r="1063" spans="1:8" ht="19.95" customHeight="1">
      <c r="A1063" s="5" t="str">
        <f>IF($G1063="","",INDEX('EDS Lookup'!$D$6:$D$2819,$G1063))</f>
        <v/>
      </c>
      <c r="B1063" s="5" t="str">
        <f>IF($G1063="","",INDEX('EDS Lookup'!$B$6:$B$2819,$G1063))</f>
        <v/>
      </c>
      <c r="C1063" s="17"/>
      <c r="D1063" s="6"/>
      <c r="E1063" s="7" t="str">
        <f>IF($G1063="","",INDEX('EDS Lookup'!$F$6:$F$2819,$G1063))</f>
        <v/>
      </c>
      <c r="F1063" s="8" t="str">
        <f>IF($G1063="","",INDEX('EDS Lookup'!$G$6:$G$2819,$G1063))</f>
        <v/>
      </c>
      <c r="G1063" t="str">
        <f>IF(1040&lt;=$B$4,IFERROR(MATCH(1040,'EDS Lookup'!$H$6:$H$2819,0),""),"")</f>
        <v/>
      </c>
      <c r="H1063" t="str">
        <f t="shared" si="16"/>
        <v/>
      </c>
    </row>
    <row r="1064" spans="1:8" ht="19.95" customHeight="1">
      <c r="A1064" s="5" t="str">
        <f>IF($G1064="","",INDEX('EDS Lookup'!$D$6:$D$2819,$G1064))</f>
        <v/>
      </c>
      <c r="B1064" s="5" t="str">
        <f>IF($G1064="","",INDEX('EDS Lookup'!$B$6:$B$2819,$G1064))</f>
        <v/>
      </c>
      <c r="C1064" s="17"/>
      <c r="D1064" s="6"/>
      <c r="E1064" s="7" t="str">
        <f>IF($G1064="","",INDEX('EDS Lookup'!$F$6:$F$2819,$G1064))</f>
        <v/>
      </c>
      <c r="F1064" s="8" t="str">
        <f>IF($G1064="","",INDEX('EDS Lookup'!$G$6:$G$2819,$G1064))</f>
        <v/>
      </c>
      <c r="G1064" t="str">
        <f>IF(1041&lt;=$B$4,IFERROR(MATCH(1041,'EDS Lookup'!$H$6:$H$2819,0),""),"")</f>
        <v/>
      </c>
      <c r="H1064" t="str">
        <f t="shared" si="16"/>
        <v/>
      </c>
    </row>
    <row r="1065" spans="1:8" ht="19.95" customHeight="1">
      <c r="A1065" s="5" t="str">
        <f>IF($G1065="","",INDEX('EDS Lookup'!$D$6:$D$2819,$G1065))</f>
        <v/>
      </c>
      <c r="B1065" s="5" t="str">
        <f>IF($G1065="","",INDEX('EDS Lookup'!$B$6:$B$2819,$G1065))</f>
        <v/>
      </c>
      <c r="C1065" s="17"/>
      <c r="D1065" s="6"/>
      <c r="E1065" s="7" t="str">
        <f>IF($G1065="","",INDEX('EDS Lookup'!$F$6:$F$2819,$G1065))</f>
        <v/>
      </c>
      <c r="F1065" s="8" t="str">
        <f>IF($G1065="","",INDEX('EDS Lookup'!$G$6:$G$2819,$G1065))</f>
        <v/>
      </c>
      <c r="G1065" t="str">
        <f>IF(1042&lt;=$B$4,IFERROR(MATCH(1042,'EDS Lookup'!$H$6:$H$2819,0),""),"")</f>
        <v/>
      </c>
      <c r="H1065" t="str">
        <f t="shared" si="16"/>
        <v/>
      </c>
    </row>
    <row r="1066" spans="1:8" ht="19.95" customHeight="1">
      <c r="A1066" s="5" t="str">
        <f>IF($G1066="","",INDEX('EDS Lookup'!$D$6:$D$2819,$G1066))</f>
        <v/>
      </c>
      <c r="B1066" s="5" t="str">
        <f>IF($G1066="","",INDEX('EDS Lookup'!$B$6:$B$2819,$G1066))</f>
        <v/>
      </c>
      <c r="C1066" s="17"/>
      <c r="D1066" s="6"/>
      <c r="E1066" s="7" t="str">
        <f>IF($G1066="","",INDEX('EDS Lookup'!$F$6:$F$2819,$G1066))</f>
        <v/>
      </c>
      <c r="F1066" s="8" t="str">
        <f>IF($G1066="","",INDEX('EDS Lookup'!$G$6:$G$2819,$G1066))</f>
        <v/>
      </c>
      <c r="G1066" t="str">
        <f>IF(1043&lt;=$B$4,IFERROR(MATCH(1043,'EDS Lookup'!$H$6:$H$2819,0),""),"")</f>
        <v/>
      </c>
      <c r="H1066" t="str">
        <f t="shared" si="16"/>
        <v/>
      </c>
    </row>
    <row r="1067" spans="1:8" ht="19.95" customHeight="1">
      <c r="A1067" s="5" t="str">
        <f>IF($G1067="","",INDEX('EDS Lookup'!$D$6:$D$2819,$G1067))</f>
        <v/>
      </c>
      <c r="B1067" s="5" t="str">
        <f>IF($G1067="","",INDEX('EDS Lookup'!$B$6:$B$2819,$G1067))</f>
        <v/>
      </c>
      <c r="C1067" s="17"/>
      <c r="D1067" s="6"/>
      <c r="E1067" s="7" t="str">
        <f>IF($G1067="","",INDEX('EDS Lookup'!$F$6:$F$2819,$G1067))</f>
        <v/>
      </c>
      <c r="F1067" s="8" t="str">
        <f>IF($G1067="","",INDEX('EDS Lookup'!$G$6:$G$2819,$G1067))</f>
        <v/>
      </c>
      <c r="G1067" t="str">
        <f>IF(1044&lt;=$B$4,IFERROR(MATCH(1044,'EDS Lookup'!$H$6:$H$2819,0),""),"")</f>
        <v/>
      </c>
      <c r="H1067" t="str">
        <f t="shared" si="16"/>
        <v/>
      </c>
    </row>
    <row r="1068" spans="1:8" ht="19.95" customHeight="1">
      <c r="A1068" s="5" t="str">
        <f>IF($G1068="","",INDEX('EDS Lookup'!$D$6:$D$2819,$G1068))</f>
        <v/>
      </c>
      <c r="B1068" s="5" t="str">
        <f>IF($G1068="","",INDEX('EDS Lookup'!$B$6:$B$2819,$G1068))</f>
        <v/>
      </c>
      <c r="C1068" s="17"/>
      <c r="D1068" s="6"/>
      <c r="E1068" s="7" t="str">
        <f>IF($G1068="","",INDEX('EDS Lookup'!$F$6:$F$2819,$G1068))</f>
        <v/>
      </c>
      <c r="F1068" s="8" t="str">
        <f>IF($G1068="","",INDEX('EDS Lookup'!$G$6:$G$2819,$G1068))</f>
        <v/>
      </c>
      <c r="G1068" t="str">
        <f>IF(1045&lt;=$B$4,IFERROR(MATCH(1045,'EDS Lookup'!$H$6:$H$2819,0),""),"")</f>
        <v/>
      </c>
      <c r="H1068" t="str">
        <f t="shared" si="16"/>
        <v/>
      </c>
    </row>
    <row r="1069" spans="1:8" ht="19.95" customHeight="1">
      <c r="A1069" s="5" t="str">
        <f>IF($G1069="","",INDEX('EDS Lookup'!$D$6:$D$2819,$G1069))</f>
        <v/>
      </c>
      <c r="B1069" s="5" t="str">
        <f>IF($G1069="","",INDEX('EDS Lookup'!$B$6:$B$2819,$G1069))</f>
        <v/>
      </c>
      <c r="C1069" s="17"/>
      <c r="D1069" s="6"/>
      <c r="E1069" s="7" t="str">
        <f>IF($G1069="","",INDEX('EDS Lookup'!$F$6:$F$2819,$G1069))</f>
        <v/>
      </c>
      <c r="F1069" s="8" t="str">
        <f>IF($G1069="","",INDEX('EDS Lookup'!$G$6:$G$2819,$G1069))</f>
        <v/>
      </c>
      <c r="G1069" t="str">
        <f>IF(1046&lt;=$B$4,IFERROR(MATCH(1046,'EDS Lookup'!$H$6:$H$2819,0),""),"")</f>
        <v/>
      </c>
      <c r="H1069" t="str">
        <f t="shared" si="16"/>
        <v/>
      </c>
    </row>
    <row r="1070" spans="1:8" ht="19.95" customHeight="1">
      <c r="A1070" s="5" t="str">
        <f>IF($G1070="","",INDEX('EDS Lookup'!$D$6:$D$2819,$G1070))</f>
        <v/>
      </c>
      <c r="B1070" s="5" t="str">
        <f>IF($G1070="","",INDEX('EDS Lookup'!$B$6:$B$2819,$G1070))</f>
        <v/>
      </c>
      <c r="C1070" s="17"/>
      <c r="D1070" s="6"/>
      <c r="E1070" s="7" t="str">
        <f>IF($G1070="","",INDEX('EDS Lookup'!$F$6:$F$2819,$G1070))</f>
        <v/>
      </c>
      <c r="F1070" s="8" t="str">
        <f>IF($G1070="","",INDEX('EDS Lookup'!$G$6:$G$2819,$G1070))</f>
        <v/>
      </c>
      <c r="G1070" t="str">
        <f>IF(1047&lt;=$B$4,IFERROR(MATCH(1047,'EDS Lookup'!$H$6:$H$2819,0),""),"")</f>
        <v/>
      </c>
      <c r="H1070" t="str">
        <f t="shared" si="16"/>
        <v/>
      </c>
    </row>
    <row r="1071" spans="1:8" ht="19.95" customHeight="1">
      <c r="A1071" s="5" t="str">
        <f>IF($G1071="","",INDEX('EDS Lookup'!$D$6:$D$2819,$G1071))</f>
        <v/>
      </c>
      <c r="B1071" s="5" t="str">
        <f>IF($G1071="","",INDEX('EDS Lookup'!$B$6:$B$2819,$G1071))</f>
        <v/>
      </c>
      <c r="C1071" s="17"/>
      <c r="D1071" s="6"/>
      <c r="E1071" s="7" t="str">
        <f>IF($G1071="","",INDEX('EDS Lookup'!$F$6:$F$2819,$G1071))</f>
        <v/>
      </c>
      <c r="F1071" s="8" t="str">
        <f>IF($G1071="","",INDEX('EDS Lookup'!$G$6:$G$2819,$G1071))</f>
        <v/>
      </c>
      <c r="G1071" t="str">
        <f>IF(1048&lt;=$B$4,IFERROR(MATCH(1048,'EDS Lookup'!$H$6:$H$2819,0),""),"")</f>
        <v/>
      </c>
      <c r="H1071" t="str">
        <f t="shared" si="16"/>
        <v/>
      </c>
    </row>
    <row r="1072" spans="1:8" ht="19.95" customHeight="1">
      <c r="A1072" s="5" t="str">
        <f>IF($G1072="","",INDEX('EDS Lookup'!$D$6:$D$2819,$G1072))</f>
        <v/>
      </c>
      <c r="B1072" s="5" t="str">
        <f>IF($G1072="","",INDEX('EDS Lookup'!$B$6:$B$2819,$G1072))</f>
        <v/>
      </c>
      <c r="C1072" s="17"/>
      <c r="D1072" s="6"/>
      <c r="E1072" s="7" t="str">
        <f>IF($G1072="","",INDEX('EDS Lookup'!$F$6:$F$2819,$G1072))</f>
        <v/>
      </c>
      <c r="F1072" s="8" t="str">
        <f>IF($G1072="","",INDEX('EDS Lookup'!$G$6:$G$2819,$G1072))</f>
        <v/>
      </c>
      <c r="G1072" t="str">
        <f>IF(1049&lt;=$B$4,IFERROR(MATCH(1049,'EDS Lookup'!$H$6:$H$2819,0),""),"")</f>
        <v/>
      </c>
      <c r="H1072" t="str">
        <f t="shared" si="16"/>
        <v/>
      </c>
    </row>
    <row r="1073" spans="1:8" ht="19.95" customHeight="1">
      <c r="A1073" s="5" t="str">
        <f>IF($G1073="","",INDEX('EDS Lookup'!$D$6:$D$2819,$G1073))</f>
        <v/>
      </c>
      <c r="B1073" s="5" t="str">
        <f>IF($G1073="","",INDEX('EDS Lookup'!$B$6:$B$2819,$G1073))</f>
        <v/>
      </c>
      <c r="C1073" s="17"/>
      <c r="D1073" s="6"/>
      <c r="E1073" s="7" t="str">
        <f>IF($G1073="","",INDEX('EDS Lookup'!$F$6:$F$2819,$G1073))</f>
        <v/>
      </c>
      <c r="F1073" s="8" t="str">
        <f>IF($G1073="","",INDEX('EDS Lookup'!$G$6:$G$2819,$G1073))</f>
        <v/>
      </c>
      <c r="G1073" t="str">
        <f>IF(1050&lt;=$B$4,IFERROR(MATCH(1050,'EDS Lookup'!$H$6:$H$2819,0),""),"")</f>
        <v/>
      </c>
      <c r="H1073" t="str">
        <f t="shared" si="16"/>
        <v/>
      </c>
    </row>
    <row r="1074" spans="1:8" ht="19.95" customHeight="1">
      <c r="A1074" s="5" t="str">
        <f>IF($G1074="","",INDEX('EDS Lookup'!$D$6:$D$2819,$G1074))</f>
        <v/>
      </c>
      <c r="B1074" s="5" t="str">
        <f>IF($G1074="","",INDEX('EDS Lookup'!$B$6:$B$2819,$G1074))</f>
        <v/>
      </c>
      <c r="C1074" s="17"/>
      <c r="D1074" s="6"/>
      <c r="E1074" s="7" t="str">
        <f>IF($G1074="","",INDEX('EDS Lookup'!$F$6:$F$2819,$G1074))</f>
        <v/>
      </c>
      <c r="F1074" s="8" t="str">
        <f>IF($G1074="","",INDEX('EDS Lookup'!$G$6:$G$2819,$G1074))</f>
        <v/>
      </c>
      <c r="G1074" t="str">
        <f>IF(1051&lt;=$B$4,IFERROR(MATCH(1051,'EDS Lookup'!$H$6:$H$2819,0),""),"")</f>
        <v/>
      </c>
      <c r="H1074" t="str">
        <f t="shared" si="16"/>
        <v/>
      </c>
    </row>
    <row r="1075" spans="1:8" ht="19.95" customHeight="1">
      <c r="A1075" s="5" t="str">
        <f>IF($G1075="","",INDEX('EDS Lookup'!$D$6:$D$2819,$G1075))</f>
        <v/>
      </c>
      <c r="B1075" s="5" t="str">
        <f>IF($G1075="","",INDEX('EDS Lookup'!$B$6:$B$2819,$G1075))</f>
        <v/>
      </c>
      <c r="C1075" s="17"/>
      <c r="D1075" s="6"/>
      <c r="E1075" s="7" t="str">
        <f>IF($G1075="","",INDEX('EDS Lookup'!$F$6:$F$2819,$G1075))</f>
        <v/>
      </c>
      <c r="F1075" s="8" t="str">
        <f>IF($G1075="","",INDEX('EDS Lookup'!$G$6:$G$2819,$G1075))</f>
        <v/>
      </c>
      <c r="G1075" t="str">
        <f>IF(1052&lt;=$B$4,IFERROR(MATCH(1052,'EDS Lookup'!$H$6:$H$2819,0),""),"")</f>
        <v/>
      </c>
      <c r="H1075" t="str">
        <f t="shared" si="16"/>
        <v/>
      </c>
    </row>
    <row r="1076" spans="1:8" ht="19.95" customHeight="1">
      <c r="A1076" s="5" t="str">
        <f>IF($G1076="","",INDEX('EDS Lookup'!$D$6:$D$2819,$G1076))</f>
        <v/>
      </c>
      <c r="B1076" s="5" t="str">
        <f>IF($G1076="","",INDEX('EDS Lookup'!$B$6:$B$2819,$G1076))</f>
        <v/>
      </c>
      <c r="C1076" s="17"/>
      <c r="D1076" s="6"/>
      <c r="E1076" s="7" t="str">
        <f>IF($G1076="","",INDEX('EDS Lookup'!$F$6:$F$2819,$G1076))</f>
        <v/>
      </c>
      <c r="F1076" s="8" t="str">
        <f>IF($G1076="","",INDEX('EDS Lookup'!$G$6:$G$2819,$G1076))</f>
        <v/>
      </c>
      <c r="G1076" t="str">
        <f>IF(1053&lt;=$B$4,IFERROR(MATCH(1053,'EDS Lookup'!$H$6:$H$2819,0),""),"")</f>
        <v/>
      </c>
      <c r="H1076" t="str">
        <f t="shared" si="16"/>
        <v/>
      </c>
    </row>
    <row r="1077" spans="1:8" ht="19.95" customHeight="1">
      <c r="A1077" s="5" t="str">
        <f>IF($G1077="","",INDEX('EDS Lookup'!$D$6:$D$2819,$G1077))</f>
        <v/>
      </c>
      <c r="B1077" s="5" t="str">
        <f>IF($G1077="","",INDEX('EDS Lookup'!$B$6:$B$2819,$G1077))</f>
        <v/>
      </c>
      <c r="C1077" s="17"/>
      <c r="D1077" s="6"/>
      <c r="E1077" s="7" t="str">
        <f>IF($G1077="","",INDEX('EDS Lookup'!$F$6:$F$2819,$G1077))</f>
        <v/>
      </c>
      <c r="F1077" s="8" t="str">
        <f>IF($G1077="","",INDEX('EDS Lookup'!$G$6:$G$2819,$G1077))</f>
        <v/>
      </c>
      <c r="G1077" t="str">
        <f>IF(1054&lt;=$B$4,IFERROR(MATCH(1054,'EDS Lookup'!$H$6:$H$2819,0),""),"")</f>
        <v/>
      </c>
      <c r="H1077" t="str">
        <f t="shared" si="16"/>
        <v/>
      </c>
    </row>
    <row r="1078" spans="1:8" ht="19.95" customHeight="1">
      <c r="A1078" s="5" t="str">
        <f>IF($G1078="","",INDEX('EDS Lookup'!$D$6:$D$2819,$G1078))</f>
        <v/>
      </c>
      <c r="B1078" s="5" t="str">
        <f>IF($G1078="","",INDEX('EDS Lookup'!$B$6:$B$2819,$G1078))</f>
        <v/>
      </c>
      <c r="C1078" s="17"/>
      <c r="D1078" s="6"/>
      <c r="E1078" s="7" t="str">
        <f>IF($G1078="","",INDEX('EDS Lookup'!$F$6:$F$2819,$G1078))</f>
        <v/>
      </c>
      <c r="F1078" s="8" t="str">
        <f>IF($G1078="","",INDEX('EDS Lookup'!$G$6:$G$2819,$G1078))</f>
        <v/>
      </c>
      <c r="G1078" t="str">
        <f>IF(1055&lt;=$B$4,IFERROR(MATCH(1055,'EDS Lookup'!$H$6:$H$2819,0),""),"")</f>
        <v/>
      </c>
      <c r="H1078" t="str">
        <f t="shared" si="16"/>
        <v/>
      </c>
    </row>
    <row r="1079" spans="1:8" ht="19.95" customHeight="1">
      <c r="A1079" s="5" t="str">
        <f>IF($G1079="","",INDEX('EDS Lookup'!$D$6:$D$2819,$G1079))</f>
        <v/>
      </c>
      <c r="B1079" s="5" t="str">
        <f>IF($G1079="","",INDEX('EDS Lookup'!$B$6:$B$2819,$G1079))</f>
        <v/>
      </c>
      <c r="C1079" s="17"/>
      <c r="D1079" s="6"/>
      <c r="E1079" s="7" t="str">
        <f>IF($G1079="","",INDEX('EDS Lookup'!$F$6:$F$2819,$G1079))</f>
        <v/>
      </c>
      <c r="F1079" s="8" t="str">
        <f>IF($G1079="","",INDEX('EDS Lookup'!$G$6:$G$2819,$G1079))</f>
        <v/>
      </c>
      <c r="G1079" t="str">
        <f>IF(1056&lt;=$B$4,IFERROR(MATCH(1056,'EDS Lookup'!$H$6:$H$2819,0),""),"")</f>
        <v/>
      </c>
      <c r="H1079" t="str">
        <f t="shared" si="16"/>
        <v/>
      </c>
    </row>
    <row r="1080" spans="1:8" ht="19.95" customHeight="1">
      <c r="A1080" s="5" t="str">
        <f>IF($G1080="","",INDEX('EDS Lookup'!$D$6:$D$2819,$G1080))</f>
        <v/>
      </c>
      <c r="B1080" s="5" t="str">
        <f>IF($G1080="","",INDEX('EDS Lookup'!$B$6:$B$2819,$G1080))</f>
        <v/>
      </c>
      <c r="C1080" s="17"/>
      <c r="D1080" s="6"/>
      <c r="E1080" s="7" t="str">
        <f>IF($G1080="","",INDEX('EDS Lookup'!$F$6:$F$2819,$G1080))</f>
        <v/>
      </c>
      <c r="F1080" s="8" t="str">
        <f>IF($G1080="","",INDEX('EDS Lookup'!$G$6:$G$2819,$G1080))</f>
        <v/>
      </c>
      <c r="G1080" t="str">
        <f>IF(1057&lt;=$B$4,IFERROR(MATCH(1057,'EDS Lookup'!$H$6:$H$2819,0),""),"")</f>
        <v/>
      </c>
      <c r="H1080" t="str">
        <f t="shared" si="16"/>
        <v/>
      </c>
    </row>
    <row r="1081" spans="1:8" ht="19.95" customHeight="1">
      <c r="A1081" s="5" t="str">
        <f>IF($G1081="","",INDEX('EDS Lookup'!$D$6:$D$2819,$G1081))</f>
        <v/>
      </c>
      <c r="B1081" s="5" t="str">
        <f>IF($G1081="","",INDEX('EDS Lookup'!$B$6:$B$2819,$G1081))</f>
        <v/>
      </c>
      <c r="C1081" s="17"/>
      <c r="D1081" s="6"/>
      <c r="E1081" s="7" t="str">
        <f>IF($G1081="","",INDEX('EDS Lookup'!$F$6:$F$2819,$G1081))</f>
        <v/>
      </c>
      <c r="F1081" s="8" t="str">
        <f>IF($G1081="","",INDEX('EDS Lookup'!$G$6:$G$2819,$G1081))</f>
        <v/>
      </c>
      <c r="G1081" t="str">
        <f>IF(1058&lt;=$B$4,IFERROR(MATCH(1058,'EDS Lookup'!$H$6:$H$2819,0),""),"")</f>
        <v/>
      </c>
      <c r="H1081" t="str">
        <f t="shared" si="16"/>
        <v/>
      </c>
    </row>
    <row r="1082" spans="1:8" ht="19.95" customHeight="1">
      <c r="A1082" s="5" t="str">
        <f>IF($G1082="","",INDEX('EDS Lookup'!$D$6:$D$2819,$G1082))</f>
        <v/>
      </c>
      <c r="B1082" s="5" t="str">
        <f>IF($G1082="","",INDEX('EDS Lookup'!$B$6:$B$2819,$G1082))</f>
        <v/>
      </c>
      <c r="C1082" s="17"/>
      <c r="D1082" s="6"/>
      <c r="E1082" s="7" t="str">
        <f>IF($G1082="","",INDEX('EDS Lookup'!$F$6:$F$2819,$G1082))</f>
        <v/>
      </c>
      <c r="F1082" s="8" t="str">
        <f>IF($G1082="","",INDEX('EDS Lookup'!$G$6:$G$2819,$G1082))</f>
        <v/>
      </c>
      <c r="G1082" t="str">
        <f>IF(1059&lt;=$B$4,IFERROR(MATCH(1059,'EDS Lookup'!$H$6:$H$2819,0),""),"")</f>
        <v/>
      </c>
      <c r="H1082" t="str">
        <f t="shared" si="16"/>
        <v/>
      </c>
    </row>
    <row r="1083" spans="1:8" ht="19.95" customHeight="1">
      <c r="A1083" s="5" t="str">
        <f>IF($G1083="","",INDEX('EDS Lookup'!$D$6:$D$2819,$G1083))</f>
        <v/>
      </c>
      <c r="B1083" s="5" t="str">
        <f>IF($G1083="","",INDEX('EDS Lookup'!$B$6:$B$2819,$G1083))</f>
        <v/>
      </c>
      <c r="C1083" s="17"/>
      <c r="D1083" s="6"/>
      <c r="E1083" s="7" t="str">
        <f>IF($G1083="","",INDEX('EDS Lookup'!$F$6:$F$2819,$G1083))</f>
        <v/>
      </c>
      <c r="F1083" s="8" t="str">
        <f>IF($G1083="","",INDEX('EDS Lookup'!$G$6:$G$2819,$G1083))</f>
        <v/>
      </c>
      <c r="G1083" t="str">
        <f>IF(1060&lt;=$B$4,IFERROR(MATCH(1060,'EDS Lookup'!$H$6:$H$2819,0),""),"")</f>
        <v/>
      </c>
      <c r="H1083" t="str">
        <f t="shared" si="16"/>
        <v/>
      </c>
    </row>
    <row r="1084" spans="1:8" ht="19.95" customHeight="1">
      <c r="A1084" s="5" t="str">
        <f>IF($G1084="","",INDEX('EDS Lookup'!$D$6:$D$2819,$G1084))</f>
        <v/>
      </c>
      <c r="B1084" s="5" t="str">
        <f>IF($G1084="","",INDEX('EDS Lookup'!$B$6:$B$2819,$G1084))</f>
        <v/>
      </c>
      <c r="C1084" s="17"/>
      <c r="D1084" s="6"/>
      <c r="E1084" s="7" t="str">
        <f>IF($G1084="","",INDEX('EDS Lookup'!$F$6:$F$2819,$G1084))</f>
        <v/>
      </c>
      <c r="F1084" s="8" t="str">
        <f>IF($G1084="","",INDEX('EDS Lookup'!$G$6:$G$2819,$G1084))</f>
        <v/>
      </c>
      <c r="G1084" t="str">
        <f>IF(1061&lt;=$B$4,IFERROR(MATCH(1061,'EDS Lookup'!$H$6:$H$2819,0),""),"")</f>
        <v/>
      </c>
      <c r="H1084" t="str">
        <f t="shared" si="16"/>
        <v/>
      </c>
    </row>
    <row r="1085" spans="1:8" ht="19.95" customHeight="1">
      <c r="A1085" s="5" t="str">
        <f>IF($G1085="","",INDEX('EDS Lookup'!$D$6:$D$2819,$G1085))</f>
        <v/>
      </c>
      <c r="B1085" s="5" t="str">
        <f>IF($G1085="","",INDEX('EDS Lookup'!$B$6:$B$2819,$G1085))</f>
        <v/>
      </c>
      <c r="C1085" s="17"/>
      <c r="D1085" s="6"/>
      <c r="E1085" s="7" t="str">
        <f>IF($G1085="","",INDEX('EDS Lookup'!$F$6:$F$2819,$G1085))</f>
        <v/>
      </c>
      <c r="F1085" s="8" t="str">
        <f>IF($G1085="","",INDEX('EDS Lookup'!$G$6:$G$2819,$G1085))</f>
        <v/>
      </c>
      <c r="G1085" t="str">
        <f>IF(1062&lt;=$B$4,IFERROR(MATCH(1062,'EDS Lookup'!$H$6:$H$2819,0),""),"")</f>
        <v/>
      </c>
      <c r="H1085" t="str">
        <f t="shared" si="16"/>
        <v/>
      </c>
    </row>
    <row r="1086" spans="1:8" ht="19.95" customHeight="1">
      <c r="A1086" s="5" t="str">
        <f>IF($G1086="","",INDEX('EDS Lookup'!$D$6:$D$2819,$G1086))</f>
        <v/>
      </c>
      <c r="B1086" s="5" t="str">
        <f>IF($G1086="","",INDEX('EDS Lookup'!$B$6:$B$2819,$G1086))</f>
        <v/>
      </c>
      <c r="C1086" s="17"/>
      <c r="D1086" s="6"/>
      <c r="E1086" s="7" t="str">
        <f>IF($G1086="","",INDEX('EDS Lookup'!$F$6:$F$2819,$G1086))</f>
        <v/>
      </c>
      <c r="F1086" s="8" t="str">
        <f>IF($G1086="","",INDEX('EDS Lookup'!$G$6:$G$2819,$G1086))</f>
        <v/>
      </c>
      <c r="G1086" t="str">
        <f>IF(1063&lt;=$B$4,IFERROR(MATCH(1063,'EDS Lookup'!$H$6:$H$2819,0),""),"")</f>
        <v/>
      </c>
      <c r="H1086" t="str">
        <f t="shared" si="16"/>
        <v/>
      </c>
    </row>
    <row r="1087" spans="1:8" ht="19.95" customHeight="1">
      <c r="A1087" s="5" t="str">
        <f>IF($G1087="","",INDEX('EDS Lookup'!$D$6:$D$2819,$G1087))</f>
        <v/>
      </c>
      <c r="B1087" s="5" t="str">
        <f>IF($G1087="","",INDEX('EDS Lookup'!$B$6:$B$2819,$G1087))</f>
        <v/>
      </c>
      <c r="C1087" s="17"/>
      <c r="D1087" s="6"/>
      <c r="E1087" s="7" t="str">
        <f>IF($G1087="","",INDEX('EDS Lookup'!$F$6:$F$2819,$G1087))</f>
        <v/>
      </c>
      <c r="F1087" s="8" t="str">
        <f>IF($G1087="","",INDEX('EDS Lookup'!$G$6:$G$2819,$G1087))</f>
        <v/>
      </c>
      <c r="G1087" t="str">
        <f>IF(1064&lt;=$B$4,IFERROR(MATCH(1064,'EDS Lookup'!$H$6:$H$2819,0),""),"")</f>
        <v/>
      </c>
      <c r="H1087" t="str">
        <f t="shared" si="16"/>
        <v/>
      </c>
    </row>
    <row r="1088" spans="1:8" ht="19.95" customHeight="1">
      <c r="A1088" s="5" t="str">
        <f>IF($G1088="","",INDEX('EDS Lookup'!$D$6:$D$2819,$G1088))</f>
        <v/>
      </c>
      <c r="B1088" s="5" t="str">
        <f>IF($G1088="","",INDEX('EDS Lookup'!$B$6:$B$2819,$G1088))</f>
        <v/>
      </c>
      <c r="C1088" s="17"/>
      <c r="D1088" s="6"/>
      <c r="E1088" s="7" t="str">
        <f>IF($G1088="","",INDEX('EDS Lookup'!$F$6:$F$2819,$G1088))</f>
        <v/>
      </c>
      <c r="F1088" s="8" t="str">
        <f>IF($G1088="","",INDEX('EDS Lookup'!$G$6:$G$2819,$G1088))</f>
        <v/>
      </c>
      <c r="G1088" t="str">
        <f>IF(1065&lt;=$B$4,IFERROR(MATCH(1065,'EDS Lookup'!$H$6:$H$2819,0),""),"")</f>
        <v/>
      </c>
      <c r="H1088" t="str">
        <f t="shared" si="16"/>
        <v/>
      </c>
    </row>
    <row r="1089" spans="1:8" ht="19.95" customHeight="1">
      <c r="A1089" s="5" t="str">
        <f>IF($G1089="","",INDEX('EDS Lookup'!$D$6:$D$2819,$G1089))</f>
        <v/>
      </c>
      <c r="B1089" s="5" t="str">
        <f>IF($G1089="","",INDEX('EDS Lookup'!$B$6:$B$2819,$G1089))</f>
        <v/>
      </c>
      <c r="C1089" s="17"/>
      <c r="D1089" s="6"/>
      <c r="E1089" s="7" t="str">
        <f>IF($G1089="","",INDEX('EDS Lookup'!$F$6:$F$2819,$G1089))</f>
        <v/>
      </c>
      <c r="F1089" s="8" t="str">
        <f>IF($G1089="","",INDEX('EDS Lookup'!$G$6:$G$2819,$G1089))</f>
        <v/>
      </c>
      <c r="G1089" t="str">
        <f>IF(1066&lt;=$B$4,IFERROR(MATCH(1066,'EDS Lookup'!$H$6:$H$2819,0),""),"")</f>
        <v/>
      </c>
      <c r="H1089" t="str">
        <f t="shared" si="16"/>
        <v/>
      </c>
    </row>
    <row r="1090" spans="1:8" ht="19.95" customHeight="1">
      <c r="A1090" s="5" t="str">
        <f>IF($G1090="","",INDEX('EDS Lookup'!$D$6:$D$2819,$G1090))</f>
        <v/>
      </c>
      <c r="B1090" s="5" t="str">
        <f>IF($G1090="","",INDEX('EDS Lookup'!$B$6:$B$2819,$G1090))</f>
        <v/>
      </c>
      <c r="C1090" s="17"/>
      <c r="D1090" s="6"/>
      <c r="E1090" s="7" t="str">
        <f>IF($G1090="","",INDEX('EDS Lookup'!$F$6:$F$2819,$G1090))</f>
        <v/>
      </c>
      <c r="F1090" s="8" t="str">
        <f>IF($G1090="","",INDEX('EDS Lookup'!$G$6:$G$2819,$G1090))</f>
        <v/>
      </c>
      <c r="G1090" t="str">
        <f>IF(1067&lt;=$B$4,IFERROR(MATCH(1067,'EDS Lookup'!$H$6:$H$2819,0),""),"")</f>
        <v/>
      </c>
      <c r="H1090" t="str">
        <f t="shared" si="16"/>
        <v/>
      </c>
    </row>
    <row r="1091" spans="1:8" ht="19.95" customHeight="1">
      <c r="A1091" s="5" t="str">
        <f>IF($G1091="","",INDEX('EDS Lookup'!$D$6:$D$2819,$G1091))</f>
        <v/>
      </c>
      <c r="B1091" s="5" t="str">
        <f>IF($G1091="","",INDEX('EDS Lookup'!$B$6:$B$2819,$G1091))</f>
        <v/>
      </c>
      <c r="C1091" s="17"/>
      <c r="D1091" s="6"/>
      <c r="E1091" s="7" t="str">
        <f>IF($G1091="","",INDEX('EDS Lookup'!$F$6:$F$2819,$G1091))</f>
        <v/>
      </c>
      <c r="F1091" s="8" t="str">
        <f>IF($G1091="","",INDEX('EDS Lookup'!$G$6:$G$2819,$G1091))</f>
        <v/>
      </c>
      <c r="G1091" t="str">
        <f>IF(1068&lt;=$B$4,IFERROR(MATCH(1068,'EDS Lookup'!$H$6:$H$2819,0),""),"")</f>
        <v/>
      </c>
      <c r="H1091" t="str">
        <f t="shared" si="16"/>
        <v/>
      </c>
    </row>
    <row r="1092" spans="1:8" ht="19.95" customHeight="1">
      <c r="A1092" s="5" t="str">
        <f>IF($G1092="","",INDEX('EDS Lookup'!$D$6:$D$2819,$G1092))</f>
        <v/>
      </c>
      <c r="B1092" s="5" t="str">
        <f>IF($G1092="","",INDEX('EDS Lookup'!$B$6:$B$2819,$G1092))</f>
        <v/>
      </c>
      <c r="C1092" s="17"/>
      <c r="D1092" s="6"/>
      <c r="E1092" s="7" t="str">
        <f>IF($G1092="","",INDEX('EDS Lookup'!$F$6:$F$2819,$G1092))</f>
        <v/>
      </c>
      <c r="F1092" s="8" t="str">
        <f>IF($G1092="","",INDEX('EDS Lookup'!$G$6:$G$2819,$G1092))</f>
        <v/>
      </c>
      <c r="G1092" t="str">
        <f>IF(1069&lt;=$B$4,IFERROR(MATCH(1069,'EDS Lookup'!$H$6:$H$2819,0),""),"")</f>
        <v/>
      </c>
      <c r="H1092" t="str">
        <f t="shared" si="16"/>
        <v/>
      </c>
    </row>
    <row r="1093" spans="1:8" ht="19.95" customHeight="1">
      <c r="A1093" s="5" t="str">
        <f>IF($G1093="","",INDEX('EDS Lookup'!$D$6:$D$2819,$G1093))</f>
        <v/>
      </c>
      <c r="B1093" s="5" t="str">
        <f>IF($G1093="","",INDEX('EDS Lookup'!$B$6:$B$2819,$G1093))</f>
        <v/>
      </c>
      <c r="C1093" s="17"/>
      <c r="D1093" s="6"/>
      <c r="E1093" s="7" t="str">
        <f>IF($G1093="","",INDEX('EDS Lookup'!$F$6:$F$2819,$G1093))</f>
        <v/>
      </c>
      <c r="F1093" s="8" t="str">
        <f>IF($G1093="","",INDEX('EDS Lookup'!$G$6:$G$2819,$G1093))</f>
        <v/>
      </c>
      <c r="G1093" t="str">
        <f>IF(1070&lt;=$B$4,IFERROR(MATCH(1070,'EDS Lookup'!$H$6:$H$2819,0),""),"")</f>
        <v/>
      </c>
      <c r="H1093" t="str">
        <f t="shared" si="16"/>
        <v/>
      </c>
    </row>
    <row r="1094" spans="1:8" ht="19.95" customHeight="1">
      <c r="A1094" s="5" t="str">
        <f>IF($G1094="","",INDEX('EDS Lookup'!$D$6:$D$2819,$G1094))</f>
        <v/>
      </c>
      <c r="B1094" s="5" t="str">
        <f>IF($G1094="","",INDEX('EDS Lookup'!$B$6:$B$2819,$G1094))</f>
        <v/>
      </c>
      <c r="C1094" s="17"/>
      <c r="D1094" s="6"/>
      <c r="E1094" s="7" t="str">
        <f>IF($G1094="","",INDEX('EDS Lookup'!$F$6:$F$2819,$G1094))</f>
        <v/>
      </c>
      <c r="F1094" s="8" t="str">
        <f>IF($G1094="","",INDEX('EDS Lookup'!$G$6:$G$2819,$G1094))</f>
        <v/>
      </c>
      <c r="G1094" t="str">
        <f>IF(1071&lt;=$B$4,IFERROR(MATCH(1071,'EDS Lookup'!$H$6:$H$2819,0),""),"")</f>
        <v/>
      </c>
      <c r="H1094" t="str">
        <f t="shared" si="16"/>
        <v/>
      </c>
    </row>
    <row r="1095" spans="1:8" ht="19.95" customHeight="1">
      <c r="A1095" s="5" t="str">
        <f>IF($G1095="","",INDEX('EDS Lookup'!$D$6:$D$2819,$G1095))</f>
        <v/>
      </c>
      <c r="B1095" s="5" t="str">
        <f>IF($G1095="","",INDEX('EDS Lookup'!$B$6:$B$2819,$G1095))</f>
        <v/>
      </c>
      <c r="C1095" s="17"/>
      <c r="D1095" s="6"/>
      <c r="E1095" s="7" t="str">
        <f>IF($G1095="","",INDEX('EDS Lookup'!$F$6:$F$2819,$G1095))</f>
        <v/>
      </c>
      <c r="F1095" s="8" t="str">
        <f>IF($G1095="","",INDEX('EDS Lookup'!$G$6:$G$2819,$G1095))</f>
        <v/>
      </c>
      <c r="G1095" t="str">
        <f>IF(1072&lt;=$B$4,IFERROR(MATCH(1072,'EDS Lookup'!$H$6:$H$2819,0),""),"")</f>
        <v/>
      </c>
      <c r="H1095" t="str">
        <f t="shared" si="16"/>
        <v/>
      </c>
    </row>
    <row r="1096" spans="1:8" ht="19.95" customHeight="1">
      <c r="A1096" s="5" t="str">
        <f>IF($G1096="","",INDEX('EDS Lookup'!$D$6:$D$2819,$G1096))</f>
        <v/>
      </c>
      <c r="B1096" s="5" t="str">
        <f>IF($G1096="","",INDEX('EDS Lookup'!$B$6:$B$2819,$G1096))</f>
        <v/>
      </c>
      <c r="C1096" s="17"/>
      <c r="D1096" s="6"/>
      <c r="E1096" s="7" t="str">
        <f>IF($G1096="","",INDEX('EDS Lookup'!$F$6:$F$2819,$G1096))</f>
        <v/>
      </c>
      <c r="F1096" s="8" t="str">
        <f>IF($G1096="","",INDEX('EDS Lookup'!$G$6:$G$2819,$G1096))</f>
        <v/>
      </c>
      <c r="G1096" t="str">
        <f>IF(1073&lt;=$B$4,IFERROR(MATCH(1073,'EDS Lookup'!$H$6:$H$2819,0),""),"")</f>
        <v/>
      </c>
      <c r="H1096" t="str">
        <f t="shared" si="16"/>
        <v/>
      </c>
    </row>
    <row r="1097" spans="1:8" ht="19.95" customHeight="1">
      <c r="A1097" s="5" t="str">
        <f>IF($G1097="","",INDEX('EDS Lookup'!$D$6:$D$2819,$G1097))</f>
        <v/>
      </c>
      <c r="B1097" s="5" t="str">
        <f>IF($G1097="","",INDEX('EDS Lookup'!$B$6:$B$2819,$G1097))</f>
        <v/>
      </c>
      <c r="C1097" s="17"/>
      <c r="D1097" s="6"/>
      <c r="E1097" s="7" t="str">
        <f>IF($G1097="","",INDEX('EDS Lookup'!$F$6:$F$2819,$G1097))</f>
        <v/>
      </c>
      <c r="F1097" s="8" t="str">
        <f>IF($G1097="","",INDEX('EDS Lookup'!$G$6:$G$2819,$G1097))</f>
        <v/>
      </c>
      <c r="G1097" t="str">
        <f>IF(1074&lt;=$B$4,IFERROR(MATCH(1074,'EDS Lookup'!$H$6:$H$2819,0),""),"")</f>
        <v/>
      </c>
      <c r="H1097" t="str">
        <f t="shared" si="16"/>
        <v/>
      </c>
    </row>
    <row r="1098" spans="1:8" ht="19.95" customHeight="1">
      <c r="A1098" s="5" t="str">
        <f>IF($G1098="","",INDEX('EDS Lookup'!$D$6:$D$2819,$G1098))</f>
        <v/>
      </c>
      <c r="B1098" s="5" t="str">
        <f>IF($G1098="","",INDEX('EDS Lookup'!$B$6:$B$2819,$G1098))</f>
        <v/>
      </c>
      <c r="C1098" s="17"/>
      <c r="D1098" s="6"/>
      <c r="E1098" s="7" t="str">
        <f>IF($G1098="","",INDEX('EDS Lookup'!$F$6:$F$2819,$G1098))</f>
        <v/>
      </c>
      <c r="F1098" s="8" t="str">
        <f>IF($G1098="","",INDEX('EDS Lookup'!$G$6:$G$2819,$G1098))</f>
        <v/>
      </c>
      <c r="G1098" t="str">
        <f>IF(1075&lt;=$B$4,IFERROR(MATCH(1075,'EDS Lookup'!$H$6:$H$2819,0),""),"")</f>
        <v/>
      </c>
      <c r="H1098" t="str">
        <f t="shared" si="16"/>
        <v/>
      </c>
    </row>
    <row r="1099" spans="1:8" ht="19.95" customHeight="1">
      <c r="A1099" s="5" t="str">
        <f>IF($G1099="","",INDEX('EDS Lookup'!$D$6:$D$2819,$G1099))</f>
        <v/>
      </c>
      <c r="B1099" s="5" t="str">
        <f>IF($G1099="","",INDEX('EDS Lookup'!$B$6:$B$2819,$G1099))</f>
        <v/>
      </c>
      <c r="C1099" s="17"/>
      <c r="D1099" s="6"/>
      <c r="E1099" s="7" t="str">
        <f>IF($G1099="","",INDEX('EDS Lookup'!$F$6:$F$2819,$G1099))</f>
        <v/>
      </c>
      <c r="F1099" s="8" t="str">
        <f>IF($G1099="","",INDEX('EDS Lookup'!$G$6:$G$2819,$G1099))</f>
        <v/>
      </c>
      <c r="G1099" t="str">
        <f>IF(1076&lt;=$B$4,IFERROR(MATCH(1076,'EDS Lookup'!$H$6:$H$2819,0),""),"")</f>
        <v/>
      </c>
      <c r="H1099" t="str">
        <f t="shared" si="16"/>
        <v/>
      </c>
    </row>
    <row r="1100" spans="1:8" ht="19.95" customHeight="1">
      <c r="A1100" s="5" t="str">
        <f>IF($G1100="","",INDEX('EDS Lookup'!$D$6:$D$2819,$G1100))</f>
        <v/>
      </c>
      <c r="B1100" s="5" t="str">
        <f>IF($G1100="","",INDEX('EDS Lookup'!$B$6:$B$2819,$G1100))</f>
        <v/>
      </c>
      <c r="C1100" s="17"/>
      <c r="D1100" s="6"/>
      <c r="E1100" s="7" t="str">
        <f>IF($G1100="","",INDEX('EDS Lookup'!$F$6:$F$2819,$G1100))</f>
        <v/>
      </c>
      <c r="F1100" s="8" t="str">
        <f>IF($G1100="","",INDEX('EDS Lookup'!$G$6:$G$2819,$G1100))</f>
        <v/>
      </c>
      <c r="G1100" t="str">
        <f>IF(1077&lt;=$B$4,IFERROR(MATCH(1077,'EDS Lookup'!$H$6:$H$2819,0),""),"")</f>
        <v/>
      </c>
      <c r="H1100" t="str">
        <f t="shared" si="16"/>
        <v/>
      </c>
    </row>
    <row r="1101" spans="1:8" ht="19.95" customHeight="1">
      <c r="A1101" s="5" t="str">
        <f>IF($G1101="","",INDEX('EDS Lookup'!$D$6:$D$2819,$G1101))</f>
        <v/>
      </c>
      <c r="B1101" s="5" t="str">
        <f>IF($G1101="","",INDEX('EDS Lookup'!$B$6:$B$2819,$G1101))</f>
        <v/>
      </c>
      <c r="C1101" s="17"/>
      <c r="D1101" s="6"/>
      <c r="E1101" s="7" t="str">
        <f>IF($G1101="","",INDEX('EDS Lookup'!$F$6:$F$2819,$G1101))</f>
        <v/>
      </c>
      <c r="F1101" s="8" t="str">
        <f>IF($G1101="","",INDEX('EDS Lookup'!$G$6:$G$2819,$G1101))</f>
        <v/>
      </c>
      <c r="G1101" t="str">
        <f>IF(1078&lt;=$B$4,IFERROR(MATCH(1078,'EDS Lookup'!$H$6:$H$2819,0),""),"")</f>
        <v/>
      </c>
      <c r="H1101" t="str">
        <f t="shared" si="16"/>
        <v/>
      </c>
    </row>
    <row r="1102" spans="1:8" ht="19.95" customHeight="1">
      <c r="A1102" s="5" t="str">
        <f>IF($G1102="","",INDEX('EDS Lookup'!$D$6:$D$2819,$G1102))</f>
        <v/>
      </c>
      <c r="B1102" s="5" t="str">
        <f>IF($G1102="","",INDEX('EDS Lookup'!$B$6:$B$2819,$G1102))</f>
        <v/>
      </c>
      <c r="C1102" s="17"/>
      <c r="D1102" s="6"/>
      <c r="E1102" s="7" t="str">
        <f>IF($G1102="","",INDEX('EDS Lookup'!$F$6:$F$2819,$G1102))</f>
        <v/>
      </c>
      <c r="F1102" s="8" t="str">
        <f>IF($G1102="","",INDEX('EDS Lookup'!$G$6:$G$2819,$G1102))</f>
        <v/>
      </c>
      <c r="G1102" t="str">
        <f>IF(1079&lt;=$B$4,IFERROR(MATCH(1079,'EDS Lookup'!$H$6:$H$2819,0),""),"")</f>
        <v/>
      </c>
      <c r="H1102" t="str">
        <f t="shared" si="16"/>
        <v/>
      </c>
    </row>
    <row r="1103" spans="1:8" ht="19.95" customHeight="1">
      <c r="A1103" s="5" t="str">
        <f>IF($G1103="","",INDEX('EDS Lookup'!$D$6:$D$2819,$G1103))</f>
        <v/>
      </c>
      <c r="B1103" s="5" t="str">
        <f>IF($G1103="","",INDEX('EDS Lookup'!$B$6:$B$2819,$G1103))</f>
        <v/>
      </c>
      <c r="C1103" s="17"/>
      <c r="D1103" s="6"/>
      <c r="E1103" s="7" t="str">
        <f>IF($G1103="","",INDEX('EDS Lookup'!$F$6:$F$2819,$G1103))</f>
        <v/>
      </c>
      <c r="F1103" s="8" t="str">
        <f>IF($G1103="","",INDEX('EDS Lookup'!$G$6:$G$2819,$G1103))</f>
        <v/>
      </c>
      <c r="G1103" t="str">
        <f>IF(1080&lt;=$B$4,IFERROR(MATCH(1080,'EDS Lookup'!$H$6:$H$2819,0),""),"")</f>
        <v/>
      </c>
      <c r="H1103" t="str">
        <f t="shared" si="16"/>
        <v/>
      </c>
    </row>
    <row r="1104" spans="1:8" ht="19.95" customHeight="1">
      <c r="A1104" s="5" t="str">
        <f>IF($G1104="","",INDEX('EDS Lookup'!$D$6:$D$2819,$G1104))</f>
        <v/>
      </c>
      <c r="B1104" s="5" t="str">
        <f>IF($G1104="","",INDEX('EDS Lookup'!$B$6:$B$2819,$G1104))</f>
        <v/>
      </c>
      <c r="C1104" s="17"/>
      <c r="D1104" s="6"/>
      <c r="E1104" s="7" t="str">
        <f>IF($G1104="","",INDEX('EDS Lookup'!$F$6:$F$2819,$G1104))</f>
        <v/>
      </c>
      <c r="F1104" s="8" t="str">
        <f>IF($G1104="","",INDEX('EDS Lookup'!$G$6:$G$2819,$G1104))</f>
        <v/>
      </c>
      <c r="G1104" t="str">
        <f>IF(1081&lt;=$B$4,IFERROR(MATCH(1081,'EDS Lookup'!$H$6:$H$2819,0),""),"")</f>
        <v/>
      </c>
      <c r="H1104" t="str">
        <f t="shared" si="16"/>
        <v/>
      </c>
    </row>
    <row r="1105" spans="1:8" ht="19.95" customHeight="1">
      <c r="A1105" s="5" t="str">
        <f>IF($G1105="","",INDEX('EDS Lookup'!$D$6:$D$2819,$G1105))</f>
        <v/>
      </c>
      <c r="B1105" s="5" t="str">
        <f>IF($G1105="","",INDEX('EDS Lookup'!$B$6:$B$2819,$G1105))</f>
        <v/>
      </c>
      <c r="C1105" s="17"/>
      <c r="D1105" s="6"/>
      <c r="E1105" s="7" t="str">
        <f>IF($G1105="","",INDEX('EDS Lookup'!$F$6:$F$2819,$G1105))</f>
        <v/>
      </c>
      <c r="F1105" s="8" t="str">
        <f>IF($G1105="","",INDEX('EDS Lookup'!$G$6:$G$2819,$G1105))</f>
        <v/>
      </c>
      <c r="G1105" t="str">
        <f>IF(1082&lt;=$B$4,IFERROR(MATCH(1082,'EDS Lookup'!$H$6:$H$2819,0),""),"")</f>
        <v/>
      </c>
      <c r="H1105" t="str">
        <f t="shared" si="16"/>
        <v/>
      </c>
    </row>
    <row r="1106" spans="1:8" ht="19.95" customHeight="1">
      <c r="A1106" s="5" t="str">
        <f>IF($G1106="","",INDEX('EDS Lookup'!$D$6:$D$2819,$G1106))</f>
        <v/>
      </c>
      <c r="B1106" s="5" t="str">
        <f>IF($G1106="","",INDEX('EDS Lookup'!$B$6:$B$2819,$G1106))</f>
        <v/>
      </c>
      <c r="C1106" s="17"/>
      <c r="D1106" s="6"/>
      <c r="E1106" s="7" t="str">
        <f>IF($G1106="","",INDEX('EDS Lookup'!$F$6:$F$2819,$G1106))</f>
        <v/>
      </c>
      <c r="F1106" s="8" t="str">
        <f>IF($G1106="","",INDEX('EDS Lookup'!$G$6:$G$2819,$G1106))</f>
        <v/>
      </c>
      <c r="G1106" t="str">
        <f>IF(1083&lt;=$B$4,IFERROR(MATCH(1083,'EDS Lookup'!$H$6:$H$2819,0),""),"")</f>
        <v/>
      </c>
      <c r="H1106" t="str">
        <f t="shared" si="16"/>
        <v/>
      </c>
    </row>
    <row r="1107" spans="1:8" ht="19.95" customHeight="1">
      <c r="A1107" s="5" t="str">
        <f>IF($G1107="","",INDEX('EDS Lookup'!$D$6:$D$2819,$G1107))</f>
        <v/>
      </c>
      <c r="B1107" s="5" t="str">
        <f>IF($G1107="","",INDEX('EDS Lookup'!$B$6:$B$2819,$G1107))</f>
        <v/>
      </c>
      <c r="C1107" s="17"/>
      <c r="D1107" s="6"/>
      <c r="E1107" s="7" t="str">
        <f>IF($G1107="","",INDEX('EDS Lookup'!$F$6:$F$2819,$G1107))</f>
        <v/>
      </c>
      <c r="F1107" s="8" t="str">
        <f>IF($G1107="","",INDEX('EDS Lookup'!$G$6:$G$2819,$G1107))</f>
        <v/>
      </c>
      <c r="G1107" t="str">
        <f>IF(1084&lt;=$B$4,IFERROR(MATCH(1084,'EDS Lookup'!$H$6:$H$2819,0),""),"")</f>
        <v/>
      </c>
      <c r="H1107" t="str">
        <f t="shared" si="16"/>
        <v/>
      </c>
    </row>
    <row r="1108" spans="1:8" ht="19.95" customHeight="1">
      <c r="A1108" s="5" t="str">
        <f>IF($G1108="","",INDEX('EDS Lookup'!$D$6:$D$2819,$G1108))</f>
        <v/>
      </c>
      <c r="B1108" s="5" t="str">
        <f>IF($G1108="","",INDEX('EDS Lookup'!$B$6:$B$2819,$G1108))</f>
        <v/>
      </c>
      <c r="C1108" s="17"/>
      <c r="D1108" s="6"/>
      <c r="E1108" s="7" t="str">
        <f>IF($G1108="","",INDEX('EDS Lookup'!$F$6:$F$2819,$G1108))</f>
        <v/>
      </c>
      <c r="F1108" s="8" t="str">
        <f>IF($G1108="","",INDEX('EDS Lookup'!$G$6:$G$2819,$G1108))</f>
        <v/>
      </c>
      <c r="G1108" t="str">
        <f>IF(1085&lt;=$B$4,IFERROR(MATCH(1085,'EDS Lookup'!$H$6:$H$2819,0),""),"")</f>
        <v/>
      </c>
      <c r="H1108" t="str">
        <f t="shared" si="16"/>
        <v/>
      </c>
    </row>
    <row r="1109" spans="1:8" ht="19.95" customHeight="1">
      <c r="A1109" s="5" t="str">
        <f>IF($G1109="","",INDEX('EDS Lookup'!$D$6:$D$2819,$G1109))</f>
        <v/>
      </c>
      <c r="B1109" s="5" t="str">
        <f>IF($G1109="","",INDEX('EDS Lookup'!$B$6:$B$2819,$G1109))</f>
        <v/>
      </c>
      <c r="C1109" s="17"/>
      <c r="D1109" s="6"/>
      <c r="E1109" s="7" t="str">
        <f>IF($G1109="","",INDEX('EDS Lookup'!$F$6:$F$2819,$G1109))</f>
        <v/>
      </c>
      <c r="F1109" s="8" t="str">
        <f>IF($G1109="","",INDEX('EDS Lookup'!$G$6:$G$2819,$G1109))</f>
        <v/>
      </c>
      <c r="G1109" t="str">
        <f>IF(1086&lt;=$B$4,IFERROR(MATCH(1086,'EDS Lookup'!$H$6:$H$2819,0),""),"")</f>
        <v/>
      </c>
      <c r="H1109" t="str">
        <f t="shared" si="16"/>
        <v/>
      </c>
    </row>
    <row r="1110" spans="1:8" ht="19.95" customHeight="1">
      <c r="A1110" s="5" t="str">
        <f>IF($G1110="","",INDEX('EDS Lookup'!$D$6:$D$2819,$G1110))</f>
        <v/>
      </c>
      <c r="B1110" s="5" t="str">
        <f>IF($G1110="","",INDEX('EDS Lookup'!$B$6:$B$2819,$G1110))</f>
        <v/>
      </c>
      <c r="C1110" s="17"/>
      <c r="D1110" s="6"/>
      <c r="E1110" s="7" t="str">
        <f>IF($G1110="","",INDEX('EDS Lookup'!$F$6:$F$2819,$G1110))</f>
        <v/>
      </c>
      <c r="F1110" s="8" t="str">
        <f>IF($G1110="","",INDEX('EDS Lookup'!$G$6:$G$2819,$G1110))</f>
        <v/>
      </c>
      <c r="G1110" t="str">
        <f>IF(1087&lt;=$B$4,IFERROR(MATCH(1087,'EDS Lookup'!$H$6:$H$2819,0),""),"")</f>
        <v/>
      </c>
      <c r="H1110" t="str">
        <f t="shared" si="16"/>
        <v/>
      </c>
    </row>
    <row r="1111" spans="1:8" ht="19.95" customHeight="1">
      <c r="A1111" s="5" t="str">
        <f>IF($G1111="","",INDEX('EDS Lookup'!$D$6:$D$2819,$G1111))</f>
        <v/>
      </c>
      <c r="B1111" s="5" t="str">
        <f>IF($G1111="","",INDEX('EDS Lookup'!$B$6:$B$2819,$G1111))</f>
        <v/>
      </c>
      <c r="C1111" s="17"/>
      <c r="D1111" s="6"/>
      <c r="E1111" s="7" t="str">
        <f>IF($G1111="","",INDEX('EDS Lookup'!$F$6:$F$2819,$G1111))</f>
        <v/>
      </c>
      <c r="F1111" s="8" t="str">
        <f>IF($G1111="","",INDEX('EDS Lookup'!$G$6:$G$2819,$G1111))</f>
        <v/>
      </c>
      <c r="G1111" t="str">
        <f>IF(1088&lt;=$B$4,IFERROR(MATCH(1088,'EDS Lookup'!$H$6:$H$2819,0),""),"")</f>
        <v/>
      </c>
      <c r="H1111" t="str">
        <f t="shared" si="16"/>
        <v/>
      </c>
    </row>
    <row r="1112" spans="1:8" ht="19.95" customHeight="1">
      <c r="A1112" s="5" t="str">
        <f>IF($G1112="","",INDEX('EDS Lookup'!$D$6:$D$2819,$G1112))</f>
        <v/>
      </c>
      <c r="B1112" s="5" t="str">
        <f>IF($G1112="","",INDEX('EDS Lookup'!$B$6:$B$2819,$G1112))</f>
        <v/>
      </c>
      <c r="C1112" s="17"/>
      <c r="D1112" s="6"/>
      <c r="E1112" s="7" t="str">
        <f>IF($G1112="","",INDEX('EDS Lookup'!$F$6:$F$2819,$G1112))</f>
        <v/>
      </c>
      <c r="F1112" s="8" t="str">
        <f>IF($G1112="","",INDEX('EDS Lookup'!$G$6:$G$2819,$G1112))</f>
        <v/>
      </c>
      <c r="G1112" t="str">
        <f>IF(1089&lt;=$B$4,IFERROR(MATCH(1089,'EDS Lookup'!$H$6:$H$2819,0),""),"")</f>
        <v/>
      </c>
      <c r="H1112" t="str">
        <f t="shared" ref="H1112:H1175" si="17">IF(F1112="&lt;5",5,IF(F1112="&gt;95",95,IF(ISNUMBER(F1112),F1112,"")))</f>
        <v/>
      </c>
    </row>
    <row r="1113" spans="1:8" ht="19.95" customHeight="1">
      <c r="A1113" s="5" t="str">
        <f>IF($G1113="","",INDEX('EDS Lookup'!$D$6:$D$2819,$G1113))</f>
        <v/>
      </c>
      <c r="B1113" s="5" t="str">
        <f>IF($G1113="","",INDEX('EDS Lookup'!$B$6:$B$2819,$G1113))</f>
        <v/>
      </c>
      <c r="C1113" s="17"/>
      <c r="D1113" s="6"/>
      <c r="E1113" s="7" t="str">
        <f>IF($G1113="","",INDEX('EDS Lookup'!$F$6:$F$2819,$G1113))</f>
        <v/>
      </c>
      <c r="F1113" s="8" t="str">
        <f>IF($G1113="","",INDEX('EDS Lookup'!$G$6:$G$2819,$G1113))</f>
        <v/>
      </c>
      <c r="G1113" t="str">
        <f>IF(1090&lt;=$B$4,IFERROR(MATCH(1090,'EDS Lookup'!$H$6:$H$2819,0),""),"")</f>
        <v/>
      </c>
      <c r="H1113" t="str">
        <f t="shared" si="17"/>
        <v/>
      </c>
    </row>
    <row r="1114" spans="1:8" ht="19.95" customHeight="1">
      <c r="A1114" s="5" t="str">
        <f>IF($G1114="","",INDEX('EDS Lookup'!$D$6:$D$2819,$G1114))</f>
        <v/>
      </c>
      <c r="B1114" s="5" t="str">
        <f>IF($G1114="","",INDEX('EDS Lookup'!$B$6:$B$2819,$G1114))</f>
        <v/>
      </c>
      <c r="C1114" s="17"/>
      <c r="D1114" s="6"/>
      <c r="E1114" s="7" t="str">
        <f>IF($G1114="","",INDEX('EDS Lookup'!$F$6:$F$2819,$G1114))</f>
        <v/>
      </c>
      <c r="F1114" s="8" t="str">
        <f>IF($G1114="","",INDEX('EDS Lookup'!$G$6:$G$2819,$G1114))</f>
        <v/>
      </c>
      <c r="G1114" t="str">
        <f>IF(1091&lt;=$B$4,IFERROR(MATCH(1091,'EDS Lookup'!$H$6:$H$2819,0),""),"")</f>
        <v/>
      </c>
      <c r="H1114" t="str">
        <f t="shared" si="17"/>
        <v/>
      </c>
    </row>
    <row r="1115" spans="1:8" ht="19.95" customHeight="1">
      <c r="A1115" s="5" t="str">
        <f>IF($G1115="","",INDEX('EDS Lookup'!$D$6:$D$2819,$G1115))</f>
        <v/>
      </c>
      <c r="B1115" s="5" t="str">
        <f>IF($G1115="","",INDEX('EDS Lookup'!$B$6:$B$2819,$G1115))</f>
        <v/>
      </c>
      <c r="C1115" s="17"/>
      <c r="D1115" s="6"/>
      <c r="E1115" s="7" t="str">
        <f>IF($G1115="","",INDEX('EDS Lookup'!$F$6:$F$2819,$G1115))</f>
        <v/>
      </c>
      <c r="F1115" s="8" t="str">
        <f>IF($G1115="","",INDEX('EDS Lookup'!$G$6:$G$2819,$G1115))</f>
        <v/>
      </c>
      <c r="G1115" t="str">
        <f>IF(1092&lt;=$B$4,IFERROR(MATCH(1092,'EDS Lookup'!$H$6:$H$2819,0),""),"")</f>
        <v/>
      </c>
      <c r="H1115" t="str">
        <f t="shared" si="17"/>
        <v/>
      </c>
    </row>
    <row r="1116" spans="1:8" ht="19.95" customHeight="1">
      <c r="A1116" s="5" t="str">
        <f>IF($G1116="","",INDEX('EDS Lookup'!$D$6:$D$2819,$G1116))</f>
        <v/>
      </c>
      <c r="B1116" s="5" t="str">
        <f>IF($G1116="","",INDEX('EDS Lookup'!$B$6:$B$2819,$G1116))</f>
        <v/>
      </c>
      <c r="C1116" s="17"/>
      <c r="D1116" s="6"/>
      <c r="E1116" s="7" t="str">
        <f>IF($G1116="","",INDEX('EDS Lookup'!$F$6:$F$2819,$G1116))</f>
        <v/>
      </c>
      <c r="F1116" s="8" t="str">
        <f>IF($G1116="","",INDEX('EDS Lookup'!$G$6:$G$2819,$G1116))</f>
        <v/>
      </c>
      <c r="G1116" t="str">
        <f>IF(1093&lt;=$B$4,IFERROR(MATCH(1093,'EDS Lookup'!$H$6:$H$2819,0),""),"")</f>
        <v/>
      </c>
      <c r="H1116" t="str">
        <f t="shared" si="17"/>
        <v/>
      </c>
    </row>
    <row r="1117" spans="1:8" ht="19.95" customHeight="1">
      <c r="A1117" s="5" t="str">
        <f>IF($G1117="","",INDEX('EDS Lookup'!$D$6:$D$2819,$G1117))</f>
        <v/>
      </c>
      <c r="B1117" s="5" t="str">
        <f>IF($G1117="","",INDEX('EDS Lookup'!$B$6:$B$2819,$G1117))</f>
        <v/>
      </c>
      <c r="C1117" s="17"/>
      <c r="D1117" s="6"/>
      <c r="E1117" s="7" t="str">
        <f>IF($G1117="","",INDEX('EDS Lookup'!$F$6:$F$2819,$G1117))</f>
        <v/>
      </c>
      <c r="F1117" s="8" t="str">
        <f>IF($G1117="","",INDEX('EDS Lookup'!$G$6:$G$2819,$G1117))</f>
        <v/>
      </c>
      <c r="G1117" t="str">
        <f>IF(1094&lt;=$B$4,IFERROR(MATCH(1094,'EDS Lookup'!$H$6:$H$2819,0),""),"")</f>
        <v/>
      </c>
      <c r="H1117" t="str">
        <f t="shared" si="17"/>
        <v/>
      </c>
    </row>
    <row r="1118" spans="1:8" ht="19.95" customHeight="1">
      <c r="A1118" s="5" t="str">
        <f>IF($G1118="","",INDEX('EDS Lookup'!$D$6:$D$2819,$G1118))</f>
        <v/>
      </c>
      <c r="B1118" s="5" t="str">
        <f>IF($G1118="","",INDEX('EDS Lookup'!$B$6:$B$2819,$G1118))</f>
        <v/>
      </c>
      <c r="C1118" s="17"/>
      <c r="D1118" s="6"/>
      <c r="E1118" s="7" t="str">
        <f>IF($G1118="","",INDEX('EDS Lookup'!$F$6:$F$2819,$G1118))</f>
        <v/>
      </c>
      <c r="F1118" s="8" t="str">
        <f>IF($G1118="","",INDEX('EDS Lookup'!$G$6:$G$2819,$G1118))</f>
        <v/>
      </c>
      <c r="G1118" t="str">
        <f>IF(1095&lt;=$B$4,IFERROR(MATCH(1095,'EDS Lookup'!$H$6:$H$2819,0),""),"")</f>
        <v/>
      </c>
      <c r="H1118" t="str">
        <f t="shared" si="17"/>
        <v/>
      </c>
    </row>
    <row r="1119" spans="1:8" ht="19.95" customHeight="1">
      <c r="A1119" s="5" t="str">
        <f>IF($G1119="","",INDEX('EDS Lookup'!$D$6:$D$2819,$G1119))</f>
        <v/>
      </c>
      <c r="B1119" s="5" t="str">
        <f>IF($G1119="","",INDEX('EDS Lookup'!$B$6:$B$2819,$G1119))</f>
        <v/>
      </c>
      <c r="C1119" s="17"/>
      <c r="D1119" s="6"/>
      <c r="E1119" s="7" t="str">
        <f>IF($G1119="","",INDEX('EDS Lookup'!$F$6:$F$2819,$G1119))</f>
        <v/>
      </c>
      <c r="F1119" s="8" t="str">
        <f>IF($G1119="","",INDEX('EDS Lookup'!$G$6:$G$2819,$G1119))</f>
        <v/>
      </c>
      <c r="G1119" t="str">
        <f>IF(1096&lt;=$B$4,IFERROR(MATCH(1096,'EDS Lookup'!$H$6:$H$2819,0),""),"")</f>
        <v/>
      </c>
      <c r="H1119" t="str">
        <f t="shared" si="17"/>
        <v/>
      </c>
    </row>
    <row r="1120" spans="1:8" ht="19.95" customHeight="1">
      <c r="A1120" s="5" t="str">
        <f>IF($G1120="","",INDEX('EDS Lookup'!$D$6:$D$2819,$G1120))</f>
        <v/>
      </c>
      <c r="B1120" s="5" t="str">
        <f>IF($G1120="","",INDEX('EDS Lookup'!$B$6:$B$2819,$G1120))</f>
        <v/>
      </c>
      <c r="C1120" s="17"/>
      <c r="D1120" s="6"/>
      <c r="E1120" s="7" t="str">
        <f>IF($G1120="","",INDEX('EDS Lookup'!$F$6:$F$2819,$G1120))</f>
        <v/>
      </c>
      <c r="F1120" s="8" t="str">
        <f>IF($G1120="","",INDEX('EDS Lookup'!$G$6:$G$2819,$G1120))</f>
        <v/>
      </c>
      <c r="G1120" t="str">
        <f>IF(1097&lt;=$B$4,IFERROR(MATCH(1097,'EDS Lookup'!$H$6:$H$2819,0),""),"")</f>
        <v/>
      </c>
      <c r="H1120" t="str">
        <f t="shared" si="17"/>
        <v/>
      </c>
    </row>
    <row r="1121" spans="1:8" ht="19.95" customHeight="1">
      <c r="A1121" s="5" t="str">
        <f>IF($G1121="","",INDEX('EDS Lookup'!$D$6:$D$2819,$G1121))</f>
        <v/>
      </c>
      <c r="B1121" s="5" t="str">
        <f>IF($G1121="","",INDEX('EDS Lookup'!$B$6:$B$2819,$G1121))</f>
        <v/>
      </c>
      <c r="C1121" s="17"/>
      <c r="D1121" s="6"/>
      <c r="E1121" s="7" t="str">
        <f>IF($G1121="","",INDEX('EDS Lookup'!$F$6:$F$2819,$G1121))</f>
        <v/>
      </c>
      <c r="F1121" s="8" t="str">
        <f>IF($G1121="","",INDEX('EDS Lookup'!$G$6:$G$2819,$G1121))</f>
        <v/>
      </c>
      <c r="G1121" t="str">
        <f>IF(1098&lt;=$B$4,IFERROR(MATCH(1098,'EDS Lookup'!$H$6:$H$2819,0),""),"")</f>
        <v/>
      </c>
      <c r="H1121" t="str">
        <f t="shared" si="17"/>
        <v/>
      </c>
    </row>
    <row r="1122" spans="1:8" ht="19.95" customHeight="1">
      <c r="A1122" s="5" t="str">
        <f>IF($G1122="","",INDEX('EDS Lookup'!$D$6:$D$2819,$G1122))</f>
        <v/>
      </c>
      <c r="B1122" s="5" t="str">
        <f>IF($G1122="","",INDEX('EDS Lookup'!$B$6:$B$2819,$G1122))</f>
        <v/>
      </c>
      <c r="C1122" s="17"/>
      <c r="D1122" s="6"/>
      <c r="E1122" s="7" t="str">
        <f>IF($G1122="","",INDEX('EDS Lookup'!$F$6:$F$2819,$G1122))</f>
        <v/>
      </c>
      <c r="F1122" s="8" t="str">
        <f>IF($G1122="","",INDEX('EDS Lookup'!$G$6:$G$2819,$G1122))</f>
        <v/>
      </c>
      <c r="G1122" t="str">
        <f>IF(1099&lt;=$B$4,IFERROR(MATCH(1099,'EDS Lookup'!$H$6:$H$2819,0),""),"")</f>
        <v/>
      </c>
      <c r="H1122" t="str">
        <f t="shared" si="17"/>
        <v/>
      </c>
    </row>
    <row r="1123" spans="1:8" ht="19.95" customHeight="1">
      <c r="A1123" s="5" t="str">
        <f>IF($G1123="","",INDEX('EDS Lookup'!$D$6:$D$2819,$G1123))</f>
        <v/>
      </c>
      <c r="B1123" s="5" t="str">
        <f>IF($G1123="","",INDEX('EDS Lookup'!$B$6:$B$2819,$G1123))</f>
        <v/>
      </c>
      <c r="C1123" s="17"/>
      <c r="D1123" s="6"/>
      <c r="E1123" s="7" t="str">
        <f>IF($G1123="","",INDEX('EDS Lookup'!$F$6:$F$2819,$G1123))</f>
        <v/>
      </c>
      <c r="F1123" s="8" t="str">
        <f>IF($G1123="","",INDEX('EDS Lookup'!$G$6:$G$2819,$G1123))</f>
        <v/>
      </c>
      <c r="G1123" t="str">
        <f>IF(1100&lt;=$B$4,IFERROR(MATCH(1100,'EDS Lookup'!$H$6:$H$2819,0),""),"")</f>
        <v/>
      </c>
      <c r="H1123" t="str">
        <f t="shared" si="17"/>
        <v/>
      </c>
    </row>
    <row r="1124" spans="1:8" ht="19.95" customHeight="1">
      <c r="A1124" s="5" t="str">
        <f>IF($G1124="","",INDEX('EDS Lookup'!$D$6:$D$2819,$G1124))</f>
        <v/>
      </c>
      <c r="B1124" s="5" t="str">
        <f>IF($G1124="","",INDEX('EDS Lookup'!$B$6:$B$2819,$G1124))</f>
        <v/>
      </c>
      <c r="C1124" s="17"/>
      <c r="D1124" s="6"/>
      <c r="E1124" s="7" t="str">
        <f>IF($G1124="","",INDEX('EDS Lookup'!$F$6:$F$2819,$G1124))</f>
        <v/>
      </c>
      <c r="F1124" s="8" t="str">
        <f>IF($G1124="","",INDEX('EDS Lookup'!$G$6:$G$2819,$G1124))</f>
        <v/>
      </c>
      <c r="G1124" t="str">
        <f>IF(1101&lt;=$B$4,IFERROR(MATCH(1101,'EDS Lookup'!$H$6:$H$2819,0),""),"")</f>
        <v/>
      </c>
      <c r="H1124" t="str">
        <f t="shared" si="17"/>
        <v/>
      </c>
    </row>
    <row r="1125" spans="1:8" ht="19.95" customHeight="1">
      <c r="A1125" s="5" t="str">
        <f>IF($G1125="","",INDEX('EDS Lookup'!$D$6:$D$2819,$G1125))</f>
        <v/>
      </c>
      <c r="B1125" s="5" t="str">
        <f>IF($G1125="","",INDEX('EDS Lookup'!$B$6:$B$2819,$G1125))</f>
        <v/>
      </c>
      <c r="C1125" s="17"/>
      <c r="D1125" s="6"/>
      <c r="E1125" s="7" t="str">
        <f>IF($G1125="","",INDEX('EDS Lookup'!$F$6:$F$2819,$G1125))</f>
        <v/>
      </c>
      <c r="F1125" s="8" t="str">
        <f>IF($G1125="","",INDEX('EDS Lookup'!$G$6:$G$2819,$G1125))</f>
        <v/>
      </c>
      <c r="G1125" t="str">
        <f>IF(1102&lt;=$B$4,IFERROR(MATCH(1102,'EDS Lookup'!$H$6:$H$2819,0),""),"")</f>
        <v/>
      </c>
      <c r="H1125" t="str">
        <f t="shared" si="17"/>
        <v/>
      </c>
    </row>
    <row r="1126" spans="1:8" ht="19.95" customHeight="1">
      <c r="A1126" s="5" t="str">
        <f>IF($G1126="","",INDEX('EDS Lookup'!$D$6:$D$2819,$G1126))</f>
        <v/>
      </c>
      <c r="B1126" s="5" t="str">
        <f>IF($G1126="","",INDEX('EDS Lookup'!$B$6:$B$2819,$G1126))</f>
        <v/>
      </c>
      <c r="C1126" s="17"/>
      <c r="D1126" s="6"/>
      <c r="E1126" s="7" t="str">
        <f>IF($G1126="","",INDEX('EDS Lookup'!$F$6:$F$2819,$G1126))</f>
        <v/>
      </c>
      <c r="F1126" s="8" t="str">
        <f>IF($G1126="","",INDEX('EDS Lookup'!$G$6:$G$2819,$G1126))</f>
        <v/>
      </c>
      <c r="G1126" t="str">
        <f>IF(1103&lt;=$B$4,IFERROR(MATCH(1103,'EDS Lookup'!$H$6:$H$2819,0),""),"")</f>
        <v/>
      </c>
      <c r="H1126" t="str">
        <f t="shared" si="17"/>
        <v/>
      </c>
    </row>
    <row r="1127" spans="1:8" ht="19.95" customHeight="1">
      <c r="A1127" s="5" t="str">
        <f>IF($G1127="","",INDEX('EDS Lookup'!$D$6:$D$2819,$G1127))</f>
        <v/>
      </c>
      <c r="B1127" s="5" t="str">
        <f>IF($G1127="","",INDEX('EDS Lookup'!$B$6:$B$2819,$G1127))</f>
        <v/>
      </c>
      <c r="C1127" s="17"/>
      <c r="D1127" s="6"/>
      <c r="E1127" s="7" t="str">
        <f>IF($G1127="","",INDEX('EDS Lookup'!$F$6:$F$2819,$G1127))</f>
        <v/>
      </c>
      <c r="F1127" s="8" t="str">
        <f>IF($G1127="","",INDEX('EDS Lookup'!$G$6:$G$2819,$G1127))</f>
        <v/>
      </c>
      <c r="G1127" t="str">
        <f>IF(1104&lt;=$B$4,IFERROR(MATCH(1104,'EDS Lookup'!$H$6:$H$2819,0),""),"")</f>
        <v/>
      </c>
      <c r="H1127" t="str">
        <f t="shared" si="17"/>
        <v/>
      </c>
    </row>
    <row r="1128" spans="1:8" ht="19.95" customHeight="1">
      <c r="A1128" s="5" t="str">
        <f>IF($G1128="","",INDEX('EDS Lookup'!$D$6:$D$2819,$G1128))</f>
        <v/>
      </c>
      <c r="B1128" s="5" t="str">
        <f>IF($G1128="","",INDEX('EDS Lookup'!$B$6:$B$2819,$G1128))</f>
        <v/>
      </c>
      <c r="C1128" s="17"/>
      <c r="D1128" s="6"/>
      <c r="E1128" s="7" t="str">
        <f>IF($G1128="","",INDEX('EDS Lookup'!$F$6:$F$2819,$G1128))</f>
        <v/>
      </c>
      <c r="F1128" s="8" t="str">
        <f>IF($G1128="","",INDEX('EDS Lookup'!$G$6:$G$2819,$G1128))</f>
        <v/>
      </c>
      <c r="G1128" t="str">
        <f>IF(1105&lt;=$B$4,IFERROR(MATCH(1105,'EDS Lookup'!$H$6:$H$2819,0),""),"")</f>
        <v/>
      </c>
      <c r="H1128" t="str">
        <f t="shared" si="17"/>
        <v/>
      </c>
    </row>
    <row r="1129" spans="1:8" ht="19.95" customHeight="1">
      <c r="A1129" s="5" t="str">
        <f>IF($G1129="","",INDEX('EDS Lookup'!$D$6:$D$2819,$G1129))</f>
        <v/>
      </c>
      <c r="B1129" s="5" t="str">
        <f>IF($G1129="","",INDEX('EDS Lookup'!$B$6:$B$2819,$G1129))</f>
        <v/>
      </c>
      <c r="C1129" s="17"/>
      <c r="D1129" s="6"/>
      <c r="E1129" s="7" t="str">
        <f>IF($G1129="","",INDEX('EDS Lookup'!$F$6:$F$2819,$G1129))</f>
        <v/>
      </c>
      <c r="F1129" s="8" t="str">
        <f>IF($G1129="","",INDEX('EDS Lookup'!$G$6:$G$2819,$G1129))</f>
        <v/>
      </c>
      <c r="G1129" t="str">
        <f>IF(1106&lt;=$B$4,IFERROR(MATCH(1106,'EDS Lookup'!$H$6:$H$2819,0),""),"")</f>
        <v/>
      </c>
      <c r="H1129" t="str">
        <f t="shared" si="17"/>
        <v/>
      </c>
    </row>
    <row r="1130" spans="1:8" ht="19.95" customHeight="1">
      <c r="A1130" s="5" t="str">
        <f>IF($G1130="","",INDEX('EDS Lookup'!$D$6:$D$2819,$G1130))</f>
        <v/>
      </c>
      <c r="B1130" s="5" t="str">
        <f>IF($G1130="","",INDEX('EDS Lookup'!$B$6:$B$2819,$G1130))</f>
        <v/>
      </c>
      <c r="C1130" s="17"/>
      <c r="D1130" s="6"/>
      <c r="E1130" s="7" t="str">
        <f>IF($G1130="","",INDEX('EDS Lookup'!$F$6:$F$2819,$G1130))</f>
        <v/>
      </c>
      <c r="F1130" s="8" t="str">
        <f>IF($G1130="","",INDEX('EDS Lookup'!$G$6:$G$2819,$G1130))</f>
        <v/>
      </c>
      <c r="G1130" t="str">
        <f>IF(1107&lt;=$B$4,IFERROR(MATCH(1107,'EDS Lookup'!$H$6:$H$2819,0),""),"")</f>
        <v/>
      </c>
      <c r="H1130" t="str">
        <f t="shared" si="17"/>
        <v/>
      </c>
    </row>
    <row r="1131" spans="1:8" ht="19.95" customHeight="1">
      <c r="A1131" s="5" t="str">
        <f>IF($G1131="","",INDEX('EDS Lookup'!$D$6:$D$2819,$G1131))</f>
        <v/>
      </c>
      <c r="B1131" s="5" t="str">
        <f>IF($G1131="","",INDEX('EDS Lookup'!$B$6:$B$2819,$G1131))</f>
        <v/>
      </c>
      <c r="C1131" s="17"/>
      <c r="D1131" s="6"/>
      <c r="E1131" s="7" t="str">
        <f>IF($G1131="","",INDEX('EDS Lookup'!$F$6:$F$2819,$G1131))</f>
        <v/>
      </c>
      <c r="F1131" s="8" t="str">
        <f>IF($G1131="","",INDEX('EDS Lookup'!$G$6:$G$2819,$G1131))</f>
        <v/>
      </c>
      <c r="G1131" t="str">
        <f>IF(1108&lt;=$B$4,IFERROR(MATCH(1108,'EDS Lookup'!$H$6:$H$2819,0),""),"")</f>
        <v/>
      </c>
      <c r="H1131" t="str">
        <f t="shared" si="17"/>
        <v/>
      </c>
    </row>
    <row r="1132" spans="1:8" ht="19.95" customHeight="1">
      <c r="A1132" s="5" t="str">
        <f>IF($G1132="","",INDEX('EDS Lookup'!$D$6:$D$2819,$G1132))</f>
        <v/>
      </c>
      <c r="B1132" s="5" t="str">
        <f>IF($G1132="","",INDEX('EDS Lookup'!$B$6:$B$2819,$G1132))</f>
        <v/>
      </c>
      <c r="C1132" s="17"/>
      <c r="D1132" s="6"/>
      <c r="E1132" s="7" t="str">
        <f>IF($G1132="","",INDEX('EDS Lookup'!$F$6:$F$2819,$G1132))</f>
        <v/>
      </c>
      <c r="F1132" s="8" t="str">
        <f>IF($G1132="","",INDEX('EDS Lookup'!$G$6:$G$2819,$G1132))</f>
        <v/>
      </c>
      <c r="G1132" t="str">
        <f>IF(1109&lt;=$B$4,IFERROR(MATCH(1109,'EDS Lookup'!$H$6:$H$2819,0),""),"")</f>
        <v/>
      </c>
      <c r="H1132" t="str">
        <f t="shared" si="17"/>
        <v/>
      </c>
    </row>
    <row r="1133" spans="1:8" ht="19.95" customHeight="1">
      <c r="A1133" s="5" t="str">
        <f>IF($G1133="","",INDEX('EDS Lookup'!$D$6:$D$2819,$G1133))</f>
        <v/>
      </c>
      <c r="B1133" s="5" t="str">
        <f>IF($G1133="","",INDEX('EDS Lookup'!$B$6:$B$2819,$G1133))</f>
        <v/>
      </c>
      <c r="C1133" s="17"/>
      <c r="D1133" s="6"/>
      <c r="E1133" s="7" t="str">
        <f>IF($G1133="","",INDEX('EDS Lookup'!$F$6:$F$2819,$G1133))</f>
        <v/>
      </c>
      <c r="F1133" s="8" t="str">
        <f>IF($G1133="","",INDEX('EDS Lookup'!$G$6:$G$2819,$G1133))</f>
        <v/>
      </c>
      <c r="G1133" t="str">
        <f>IF(1110&lt;=$B$4,IFERROR(MATCH(1110,'EDS Lookup'!$H$6:$H$2819,0),""),"")</f>
        <v/>
      </c>
      <c r="H1133" t="str">
        <f t="shared" si="17"/>
        <v/>
      </c>
    </row>
    <row r="1134" spans="1:8" ht="19.95" customHeight="1">
      <c r="A1134" s="5" t="str">
        <f>IF($G1134="","",INDEX('EDS Lookup'!$D$6:$D$2819,$G1134))</f>
        <v/>
      </c>
      <c r="B1134" s="5" t="str">
        <f>IF($G1134="","",INDEX('EDS Lookup'!$B$6:$B$2819,$G1134))</f>
        <v/>
      </c>
      <c r="C1134" s="17"/>
      <c r="D1134" s="6"/>
      <c r="E1134" s="7" t="str">
        <f>IF($G1134="","",INDEX('EDS Lookup'!$F$6:$F$2819,$G1134))</f>
        <v/>
      </c>
      <c r="F1134" s="8" t="str">
        <f>IF($G1134="","",INDEX('EDS Lookup'!$G$6:$G$2819,$G1134))</f>
        <v/>
      </c>
      <c r="G1134" t="str">
        <f>IF(1111&lt;=$B$4,IFERROR(MATCH(1111,'EDS Lookup'!$H$6:$H$2819,0),""),"")</f>
        <v/>
      </c>
      <c r="H1134" t="str">
        <f t="shared" si="17"/>
        <v/>
      </c>
    </row>
    <row r="1135" spans="1:8" ht="19.95" customHeight="1">
      <c r="A1135" s="5" t="str">
        <f>IF($G1135="","",INDEX('EDS Lookup'!$D$6:$D$2819,$G1135))</f>
        <v/>
      </c>
      <c r="B1135" s="5" t="str">
        <f>IF($G1135="","",INDEX('EDS Lookup'!$B$6:$B$2819,$G1135))</f>
        <v/>
      </c>
      <c r="C1135" s="17"/>
      <c r="D1135" s="6"/>
      <c r="E1135" s="7" t="str">
        <f>IF($G1135="","",INDEX('EDS Lookup'!$F$6:$F$2819,$G1135))</f>
        <v/>
      </c>
      <c r="F1135" s="8" t="str">
        <f>IF($G1135="","",INDEX('EDS Lookup'!$G$6:$G$2819,$G1135))</f>
        <v/>
      </c>
      <c r="G1135" t="str">
        <f>IF(1112&lt;=$B$4,IFERROR(MATCH(1112,'EDS Lookup'!$H$6:$H$2819,0),""),"")</f>
        <v/>
      </c>
      <c r="H1135" t="str">
        <f t="shared" si="17"/>
        <v/>
      </c>
    </row>
    <row r="1136" spans="1:8" ht="19.95" customHeight="1">
      <c r="A1136" s="5" t="str">
        <f>IF($G1136="","",INDEX('EDS Lookup'!$D$6:$D$2819,$G1136))</f>
        <v/>
      </c>
      <c r="B1136" s="5" t="str">
        <f>IF($G1136="","",INDEX('EDS Lookup'!$B$6:$B$2819,$G1136))</f>
        <v/>
      </c>
      <c r="C1136" s="17"/>
      <c r="D1136" s="6"/>
      <c r="E1136" s="7" t="str">
        <f>IF($G1136="","",INDEX('EDS Lookup'!$F$6:$F$2819,$G1136))</f>
        <v/>
      </c>
      <c r="F1136" s="8" t="str">
        <f>IF($G1136="","",INDEX('EDS Lookup'!$G$6:$G$2819,$G1136))</f>
        <v/>
      </c>
      <c r="G1136" t="str">
        <f>IF(1113&lt;=$B$4,IFERROR(MATCH(1113,'EDS Lookup'!$H$6:$H$2819,0),""),"")</f>
        <v/>
      </c>
      <c r="H1136" t="str">
        <f t="shared" si="17"/>
        <v/>
      </c>
    </row>
    <row r="1137" spans="1:8" ht="19.95" customHeight="1">
      <c r="A1137" s="5" t="str">
        <f>IF($G1137="","",INDEX('EDS Lookup'!$D$6:$D$2819,$G1137))</f>
        <v/>
      </c>
      <c r="B1137" s="5" t="str">
        <f>IF($G1137="","",INDEX('EDS Lookup'!$B$6:$B$2819,$G1137))</f>
        <v/>
      </c>
      <c r="C1137" s="17"/>
      <c r="D1137" s="6"/>
      <c r="E1137" s="7" t="str">
        <f>IF($G1137="","",INDEX('EDS Lookup'!$F$6:$F$2819,$G1137))</f>
        <v/>
      </c>
      <c r="F1137" s="8" t="str">
        <f>IF($G1137="","",INDEX('EDS Lookup'!$G$6:$G$2819,$G1137))</f>
        <v/>
      </c>
      <c r="G1137" t="str">
        <f>IF(1114&lt;=$B$4,IFERROR(MATCH(1114,'EDS Lookup'!$H$6:$H$2819,0),""),"")</f>
        <v/>
      </c>
      <c r="H1137" t="str">
        <f t="shared" si="17"/>
        <v/>
      </c>
    </row>
    <row r="1138" spans="1:8" ht="19.95" customHeight="1">
      <c r="A1138" s="5" t="str">
        <f>IF($G1138="","",INDEX('EDS Lookup'!$D$6:$D$2819,$G1138))</f>
        <v/>
      </c>
      <c r="B1138" s="5" t="str">
        <f>IF($G1138="","",INDEX('EDS Lookup'!$B$6:$B$2819,$G1138))</f>
        <v/>
      </c>
      <c r="C1138" s="17"/>
      <c r="D1138" s="6"/>
      <c r="E1138" s="7" t="str">
        <f>IF($G1138="","",INDEX('EDS Lookup'!$F$6:$F$2819,$G1138))</f>
        <v/>
      </c>
      <c r="F1138" s="8" t="str">
        <f>IF($G1138="","",INDEX('EDS Lookup'!$G$6:$G$2819,$G1138))</f>
        <v/>
      </c>
      <c r="G1138" t="str">
        <f>IF(1115&lt;=$B$4,IFERROR(MATCH(1115,'EDS Lookup'!$H$6:$H$2819,0),""),"")</f>
        <v/>
      </c>
      <c r="H1138" t="str">
        <f t="shared" si="17"/>
        <v/>
      </c>
    </row>
    <row r="1139" spans="1:8" ht="19.95" customHeight="1">
      <c r="A1139" s="5" t="str">
        <f>IF($G1139="","",INDEX('EDS Lookup'!$D$6:$D$2819,$G1139))</f>
        <v/>
      </c>
      <c r="B1139" s="5" t="str">
        <f>IF($G1139="","",INDEX('EDS Lookup'!$B$6:$B$2819,$G1139))</f>
        <v/>
      </c>
      <c r="C1139" s="17"/>
      <c r="D1139" s="6"/>
      <c r="E1139" s="7" t="str">
        <f>IF($G1139="","",INDEX('EDS Lookup'!$F$6:$F$2819,$G1139))</f>
        <v/>
      </c>
      <c r="F1139" s="8" t="str">
        <f>IF($G1139="","",INDEX('EDS Lookup'!$G$6:$G$2819,$G1139))</f>
        <v/>
      </c>
      <c r="G1139" t="str">
        <f>IF(1116&lt;=$B$4,IFERROR(MATCH(1116,'EDS Lookup'!$H$6:$H$2819,0),""),"")</f>
        <v/>
      </c>
      <c r="H1139" t="str">
        <f t="shared" si="17"/>
        <v/>
      </c>
    </row>
    <row r="1140" spans="1:8" ht="19.95" customHeight="1">
      <c r="A1140" s="5" t="str">
        <f>IF($G1140="","",INDEX('EDS Lookup'!$D$6:$D$2819,$G1140))</f>
        <v/>
      </c>
      <c r="B1140" s="5" t="str">
        <f>IF($G1140="","",INDEX('EDS Lookup'!$B$6:$B$2819,$G1140))</f>
        <v/>
      </c>
      <c r="C1140" s="17"/>
      <c r="D1140" s="6"/>
      <c r="E1140" s="7" t="str">
        <f>IF($G1140="","",INDEX('EDS Lookup'!$F$6:$F$2819,$G1140))</f>
        <v/>
      </c>
      <c r="F1140" s="8" t="str">
        <f>IF($G1140="","",INDEX('EDS Lookup'!$G$6:$G$2819,$G1140))</f>
        <v/>
      </c>
      <c r="G1140" t="str">
        <f>IF(1117&lt;=$B$4,IFERROR(MATCH(1117,'EDS Lookup'!$H$6:$H$2819,0),""),"")</f>
        <v/>
      </c>
      <c r="H1140" t="str">
        <f t="shared" si="17"/>
        <v/>
      </c>
    </row>
    <row r="1141" spans="1:8" ht="19.95" customHeight="1">
      <c r="A1141" s="5" t="str">
        <f>IF($G1141="","",INDEX('EDS Lookup'!$D$6:$D$2819,$G1141))</f>
        <v/>
      </c>
      <c r="B1141" s="5" t="str">
        <f>IF($G1141="","",INDEX('EDS Lookup'!$B$6:$B$2819,$G1141))</f>
        <v/>
      </c>
      <c r="C1141" s="17"/>
      <c r="D1141" s="6"/>
      <c r="E1141" s="7" t="str">
        <f>IF($G1141="","",INDEX('EDS Lookup'!$F$6:$F$2819,$G1141))</f>
        <v/>
      </c>
      <c r="F1141" s="8" t="str">
        <f>IF($G1141="","",INDEX('EDS Lookup'!$G$6:$G$2819,$G1141))</f>
        <v/>
      </c>
      <c r="G1141" t="str">
        <f>IF(1118&lt;=$B$4,IFERROR(MATCH(1118,'EDS Lookup'!$H$6:$H$2819,0),""),"")</f>
        <v/>
      </c>
      <c r="H1141" t="str">
        <f t="shared" si="17"/>
        <v/>
      </c>
    </row>
    <row r="1142" spans="1:8" ht="19.95" customHeight="1">
      <c r="A1142" s="5" t="str">
        <f>IF($G1142="","",INDEX('EDS Lookup'!$D$6:$D$2819,$G1142))</f>
        <v/>
      </c>
      <c r="B1142" s="5" t="str">
        <f>IF($G1142="","",INDEX('EDS Lookup'!$B$6:$B$2819,$G1142))</f>
        <v/>
      </c>
      <c r="C1142" s="17"/>
      <c r="D1142" s="6"/>
      <c r="E1142" s="7" t="str">
        <f>IF($G1142="","",INDEX('EDS Lookup'!$F$6:$F$2819,$G1142))</f>
        <v/>
      </c>
      <c r="F1142" s="8" t="str">
        <f>IF($G1142="","",INDEX('EDS Lookup'!$G$6:$G$2819,$G1142))</f>
        <v/>
      </c>
      <c r="G1142" t="str">
        <f>IF(1119&lt;=$B$4,IFERROR(MATCH(1119,'EDS Lookup'!$H$6:$H$2819,0),""),"")</f>
        <v/>
      </c>
      <c r="H1142" t="str">
        <f t="shared" si="17"/>
        <v/>
      </c>
    </row>
    <row r="1143" spans="1:8" ht="19.95" customHeight="1">
      <c r="A1143" s="5" t="str">
        <f>IF($G1143="","",INDEX('EDS Lookup'!$D$6:$D$2819,$G1143))</f>
        <v/>
      </c>
      <c r="B1143" s="5" t="str">
        <f>IF($G1143="","",INDEX('EDS Lookup'!$B$6:$B$2819,$G1143))</f>
        <v/>
      </c>
      <c r="C1143" s="17"/>
      <c r="D1143" s="6"/>
      <c r="E1143" s="7" t="str">
        <f>IF($G1143="","",INDEX('EDS Lookup'!$F$6:$F$2819,$G1143))</f>
        <v/>
      </c>
      <c r="F1143" s="8" t="str">
        <f>IF($G1143="","",INDEX('EDS Lookup'!$G$6:$G$2819,$G1143))</f>
        <v/>
      </c>
      <c r="G1143" t="str">
        <f>IF(1120&lt;=$B$4,IFERROR(MATCH(1120,'EDS Lookup'!$H$6:$H$2819,0),""),"")</f>
        <v/>
      </c>
      <c r="H1143" t="str">
        <f t="shared" si="17"/>
        <v/>
      </c>
    </row>
    <row r="1144" spans="1:8" ht="19.95" customHeight="1">
      <c r="A1144" s="5" t="str">
        <f>IF($G1144="","",INDEX('EDS Lookup'!$D$6:$D$2819,$G1144))</f>
        <v/>
      </c>
      <c r="B1144" s="5" t="str">
        <f>IF($G1144="","",INDEX('EDS Lookup'!$B$6:$B$2819,$G1144))</f>
        <v/>
      </c>
      <c r="C1144" s="17"/>
      <c r="D1144" s="6"/>
      <c r="E1144" s="7" t="str">
        <f>IF($G1144="","",INDEX('EDS Lookup'!$F$6:$F$2819,$G1144))</f>
        <v/>
      </c>
      <c r="F1144" s="8" t="str">
        <f>IF($G1144="","",INDEX('EDS Lookup'!$G$6:$G$2819,$G1144))</f>
        <v/>
      </c>
      <c r="G1144" t="str">
        <f>IF(1121&lt;=$B$4,IFERROR(MATCH(1121,'EDS Lookup'!$H$6:$H$2819,0),""),"")</f>
        <v/>
      </c>
      <c r="H1144" t="str">
        <f t="shared" si="17"/>
        <v/>
      </c>
    </row>
    <row r="1145" spans="1:8" ht="19.95" customHeight="1">
      <c r="A1145" s="5" t="str">
        <f>IF($G1145="","",INDEX('EDS Lookup'!$D$6:$D$2819,$G1145))</f>
        <v/>
      </c>
      <c r="B1145" s="5" t="str">
        <f>IF($G1145="","",INDEX('EDS Lookup'!$B$6:$B$2819,$G1145))</f>
        <v/>
      </c>
      <c r="C1145" s="17"/>
      <c r="D1145" s="6"/>
      <c r="E1145" s="7" t="str">
        <f>IF($G1145="","",INDEX('EDS Lookup'!$F$6:$F$2819,$G1145))</f>
        <v/>
      </c>
      <c r="F1145" s="8" t="str">
        <f>IF($G1145="","",INDEX('EDS Lookup'!$G$6:$G$2819,$G1145))</f>
        <v/>
      </c>
      <c r="G1145" t="str">
        <f>IF(1122&lt;=$B$4,IFERROR(MATCH(1122,'EDS Lookup'!$H$6:$H$2819,0),""),"")</f>
        <v/>
      </c>
      <c r="H1145" t="str">
        <f t="shared" si="17"/>
        <v/>
      </c>
    </row>
    <row r="1146" spans="1:8" ht="19.95" customHeight="1">
      <c r="A1146" s="5" t="str">
        <f>IF($G1146="","",INDEX('EDS Lookup'!$D$6:$D$2819,$G1146))</f>
        <v/>
      </c>
      <c r="B1146" s="5" t="str">
        <f>IF($G1146="","",INDEX('EDS Lookup'!$B$6:$B$2819,$G1146))</f>
        <v/>
      </c>
      <c r="C1146" s="17"/>
      <c r="D1146" s="6"/>
      <c r="E1146" s="7" t="str">
        <f>IF($G1146="","",INDEX('EDS Lookup'!$F$6:$F$2819,$G1146))</f>
        <v/>
      </c>
      <c r="F1146" s="8" t="str">
        <f>IF($G1146="","",INDEX('EDS Lookup'!$G$6:$G$2819,$G1146))</f>
        <v/>
      </c>
      <c r="G1146" t="str">
        <f>IF(1123&lt;=$B$4,IFERROR(MATCH(1123,'EDS Lookup'!$H$6:$H$2819,0),""),"")</f>
        <v/>
      </c>
      <c r="H1146" t="str">
        <f t="shared" si="17"/>
        <v/>
      </c>
    </row>
    <row r="1147" spans="1:8" ht="19.95" customHeight="1">
      <c r="A1147" s="5" t="str">
        <f>IF($G1147="","",INDEX('EDS Lookup'!$D$6:$D$2819,$G1147))</f>
        <v/>
      </c>
      <c r="B1147" s="5" t="str">
        <f>IF($G1147="","",INDEX('EDS Lookup'!$B$6:$B$2819,$G1147))</f>
        <v/>
      </c>
      <c r="C1147" s="17"/>
      <c r="D1147" s="6"/>
      <c r="E1147" s="7" t="str">
        <f>IF($G1147="","",INDEX('EDS Lookup'!$F$6:$F$2819,$G1147))</f>
        <v/>
      </c>
      <c r="F1147" s="8" t="str">
        <f>IF($G1147="","",INDEX('EDS Lookup'!$G$6:$G$2819,$G1147))</f>
        <v/>
      </c>
      <c r="G1147" t="str">
        <f>IF(1124&lt;=$B$4,IFERROR(MATCH(1124,'EDS Lookup'!$H$6:$H$2819,0),""),"")</f>
        <v/>
      </c>
      <c r="H1147" t="str">
        <f t="shared" si="17"/>
        <v/>
      </c>
    </row>
    <row r="1148" spans="1:8" ht="19.95" customHeight="1">
      <c r="A1148" s="5" t="str">
        <f>IF($G1148="","",INDEX('EDS Lookup'!$D$6:$D$2819,$G1148))</f>
        <v/>
      </c>
      <c r="B1148" s="5" t="str">
        <f>IF($G1148="","",INDEX('EDS Lookup'!$B$6:$B$2819,$G1148))</f>
        <v/>
      </c>
      <c r="C1148" s="17"/>
      <c r="D1148" s="6"/>
      <c r="E1148" s="7" t="str">
        <f>IF($G1148="","",INDEX('EDS Lookup'!$F$6:$F$2819,$G1148))</f>
        <v/>
      </c>
      <c r="F1148" s="8" t="str">
        <f>IF($G1148="","",INDEX('EDS Lookup'!$G$6:$G$2819,$G1148))</f>
        <v/>
      </c>
      <c r="G1148" t="str">
        <f>IF(1125&lt;=$B$4,IFERROR(MATCH(1125,'EDS Lookup'!$H$6:$H$2819,0),""),"")</f>
        <v/>
      </c>
      <c r="H1148" t="str">
        <f t="shared" si="17"/>
        <v/>
      </c>
    </row>
    <row r="1149" spans="1:8" ht="19.95" customHeight="1">
      <c r="A1149" s="5" t="str">
        <f>IF($G1149="","",INDEX('EDS Lookup'!$D$6:$D$2819,$G1149))</f>
        <v/>
      </c>
      <c r="B1149" s="5" t="str">
        <f>IF($G1149="","",INDEX('EDS Lookup'!$B$6:$B$2819,$G1149))</f>
        <v/>
      </c>
      <c r="C1149" s="17"/>
      <c r="D1149" s="6"/>
      <c r="E1149" s="7" t="str">
        <f>IF($G1149="","",INDEX('EDS Lookup'!$F$6:$F$2819,$G1149))</f>
        <v/>
      </c>
      <c r="F1149" s="8" t="str">
        <f>IF($G1149="","",INDEX('EDS Lookup'!$G$6:$G$2819,$G1149))</f>
        <v/>
      </c>
      <c r="G1149" t="str">
        <f>IF(1126&lt;=$B$4,IFERROR(MATCH(1126,'EDS Lookup'!$H$6:$H$2819,0),""),"")</f>
        <v/>
      </c>
      <c r="H1149" t="str">
        <f t="shared" si="17"/>
        <v/>
      </c>
    </row>
    <row r="1150" spans="1:8" ht="19.95" customHeight="1">
      <c r="A1150" s="5" t="str">
        <f>IF($G1150="","",INDEX('EDS Lookup'!$D$6:$D$2819,$G1150))</f>
        <v/>
      </c>
      <c r="B1150" s="5" t="str">
        <f>IF($G1150="","",INDEX('EDS Lookup'!$B$6:$B$2819,$G1150))</f>
        <v/>
      </c>
      <c r="C1150" s="17"/>
      <c r="D1150" s="6"/>
      <c r="E1150" s="7" t="str">
        <f>IF($G1150="","",INDEX('EDS Lookup'!$F$6:$F$2819,$G1150))</f>
        <v/>
      </c>
      <c r="F1150" s="8" t="str">
        <f>IF($G1150="","",INDEX('EDS Lookup'!$G$6:$G$2819,$G1150))</f>
        <v/>
      </c>
      <c r="G1150" t="str">
        <f>IF(1127&lt;=$B$4,IFERROR(MATCH(1127,'EDS Lookup'!$H$6:$H$2819,0),""),"")</f>
        <v/>
      </c>
      <c r="H1150" t="str">
        <f t="shared" si="17"/>
        <v/>
      </c>
    </row>
    <row r="1151" spans="1:8" ht="19.95" customHeight="1">
      <c r="A1151" s="5" t="str">
        <f>IF($G1151="","",INDEX('EDS Lookup'!$D$6:$D$2819,$G1151))</f>
        <v/>
      </c>
      <c r="B1151" s="5" t="str">
        <f>IF($G1151="","",INDEX('EDS Lookup'!$B$6:$B$2819,$G1151))</f>
        <v/>
      </c>
      <c r="C1151" s="17"/>
      <c r="D1151" s="6"/>
      <c r="E1151" s="7" t="str">
        <f>IF($G1151="","",INDEX('EDS Lookup'!$F$6:$F$2819,$G1151))</f>
        <v/>
      </c>
      <c r="F1151" s="8" t="str">
        <f>IF($G1151="","",INDEX('EDS Lookup'!$G$6:$G$2819,$G1151))</f>
        <v/>
      </c>
      <c r="G1151" t="str">
        <f>IF(1128&lt;=$B$4,IFERROR(MATCH(1128,'EDS Lookup'!$H$6:$H$2819,0),""),"")</f>
        <v/>
      </c>
      <c r="H1151" t="str">
        <f t="shared" si="17"/>
        <v/>
      </c>
    </row>
    <row r="1152" spans="1:8" ht="19.95" customHeight="1">
      <c r="A1152" s="5" t="str">
        <f>IF($G1152="","",INDEX('EDS Lookup'!$D$6:$D$2819,$G1152))</f>
        <v/>
      </c>
      <c r="B1152" s="5" t="str">
        <f>IF($G1152="","",INDEX('EDS Lookup'!$B$6:$B$2819,$G1152))</f>
        <v/>
      </c>
      <c r="C1152" s="17"/>
      <c r="D1152" s="6"/>
      <c r="E1152" s="7" t="str">
        <f>IF($G1152="","",INDEX('EDS Lookup'!$F$6:$F$2819,$G1152))</f>
        <v/>
      </c>
      <c r="F1152" s="8" t="str">
        <f>IF($G1152="","",INDEX('EDS Lookup'!$G$6:$G$2819,$G1152))</f>
        <v/>
      </c>
      <c r="G1152" t="str">
        <f>IF(1129&lt;=$B$4,IFERROR(MATCH(1129,'EDS Lookup'!$H$6:$H$2819,0),""),"")</f>
        <v/>
      </c>
      <c r="H1152" t="str">
        <f t="shared" si="17"/>
        <v/>
      </c>
    </row>
    <row r="1153" spans="1:8" ht="19.95" customHeight="1">
      <c r="A1153" s="5" t="str">
        <f>IF($G1153="","",INDEX('EDS Lookup'!$D$6:$D$2819,$G1153))</f>
        <v/>
      </c>
      <c r="B1153" s="5" t="str">
        <f>IF($G1153="","",INDEX('EDS Lookup'!$B$6:$B$2819,$G1153))</f>
        <v/>
      </c>
      <c r="C1153" s="17"/>
      <c r="D1153" s="6"/>
      <c r="E1153" s="7" t="str">
        <f>IF($G1153="","",INDEX('EDS Lookup'!$F$6:$F$2819,$G1153))</f>
        <v/>
      </c>
      <c r="F1153" s="8" t="str">
        <f>IF($G1153="","",INDEX('EDS Lookup'!$G$6:$G$2819,$G1153))</f>
        <v/>
      </c>
      <c r="G1153" t="str">
        <f>IF(1130&lt;=$B$4,IFERROR(MATCH(1130,'EDS Lookup'!$H$6:$H$2819,0),""),"")</f>
        <v/>
      </c>
      <c r="H1153" t="str">
        <f t="shared" si="17"/>
        <v/>
      </c>
    </row>
    <row r="1154" spans="1:8" ht="19.95" customHeight="1">
      <c r="A1154" s="5" t="str">
        <f>IF($G1154="","",INDEX('EDS Lookup'!$D$6:$D$2819,$G1154))</f>
        <v/>
      </c>
      <c r="B1154" s="5" t="str">
        <f>IF($G1154="","",INDEX('EDS Lookup'!$B$6:$B$2819,$G1154))</f>
        <v/>
      </c>
      <c r="C1154" s="17"/>
      <c r="D1154" s="6"/>
      <c r="E1154" s="7" t="str">
        <f>IF($G1154="","",INDEX('EDS Lookup'!$F$6:$F$2819,$G1154))</f>
        <v/>
      </c>
      <c r="F1154" s="8" t="str">
        <f>IF($G1154="","",INDEX('EDS Lookup'!$G$6:$G$2819,$G1154))</f>
        <v/>
      </c>
      <c r="G1154" t="str">
        <f>IF(1131&lt;=$B$4,IFERROR(MATCH(1131,'EDS Lookup'!$H$6:$H$2819,0),""),"")</f>
        <v/>
      </c>
      <c r="H1154" t="str">
        <f t="shared" si="17"/>
        <v/>
      </c>
    </row>
    <row r="1155" spans="1:8" ht="19.95" customHeight="1">
      <c r="A1155" s="5" t="str">
        <f>IF($G1155="","",INDEX('EDS Lookup'!$D$6:$D$2819,$G1155))</f>
        <v/>
      </c>
      <c r="B1155" s="5" t="str">
        <f>IF($G1155="","",INDEX('EDS Lookup'!$B$6:$B$2819,$G1155))</f>
        <v/>
      </c>
      <c r="C1155" s="17"/>
      <c r="D1155" s="6"/>
      <c r="E1155" s="7" t="str">
        <f>IF($G1155="","",INDEX('EDS Lookup'!$F$6:$F$2819,$G1155))</f>
        <v/>
      </c>
      <c r="F1155" s="8" t="str">
        <f>IF($G1155="","",INDEX('EDS Lookup'!$G$6:$G$2819,$G1155))</f>
        <v/>
      </c>
      <c r="G1155" t="str">
        <f>IF(1132&lt;=$B$4,IFERROR(MATCH(1132,'EDS Lookup'!$H$6:$H$2819,0),""),"")</f>
        <v/>
      </c>
      <c r="H1155" t="str">
        <f t="shared" si="17"/>
        <v/>
      </c>
    </row>
    <row r="1156" spans="1:8" ht="19.95" customHeight="1">
      <c r="A1156" s="5" t="str">
        <f>IF($G1156="","",INDEX('EDS Lookup'!$D$6:$D$2819,$G1156))</f>
        <v/>
      </c>
      <c r="B1156" s="5" t="str">
        <f>IF($G1156="","",INDEX('EDS Lookup'!$B$6:$B$2819,$G1156))</f>
        <v/>
      </c>
      <c r="C1156" s="17"/>
      <c r="D1156" s="6"/>
      <c r="E1156" s="7" t="str">
        <f>IF($G1156="","",INDEX('EDS Lookup'!$F$6:$F$2819,$G1156))</f>
        <v/>
      </c>
      <c r="F1156" s="8" t="str">
        <f>IF($G1156="","",INDEX('EDS Lookup'!$G$6:$G$2819,$G1156))</f>
        <v/>
      </c>
      <c r="G1156" t="str">
        <f>IF(1133&lt;=$B$4,IFERROR(MATCH(1133,'EDS Lookup'!$H$6:$H$2819,0),""),"")</f>
        <v/>
      </c>
      <c r="H1156" t="str">
        <f t="shared" si="17"/>
        <v/>
      </c>
    </row>
    <row r="1157" spans="1:8" ht="19.95" customHeight="1">
      <c r="A1157" s="5" t="str">
        <f>IF($G1157="","",INDEX('EDS Lookup'!$D$6:$D$2819,$G1157))</f>
        <v/>
      </c>
      <c r="B1157" s="5" t="str">
        <f>IF($G1157="","",INDEX('EDS Lookup'!$B$6:$B$2819,$G1157))</f>
        <v/>
      </c>
      <c r="C1157" s="17"/>
      <c r="D1157" s="6"/>
      <c r="E1157" s="7" t="str">
        <f>IF($G1157="","",INDEX('EDS Lookup'!$F$6:$F$2819,$G1157))</f>
        <v/>
      </c>
      <c r="F1157" s="8" t="str">
        <f>IF($G1157="","",INDEX('EDS Lookup'!$G$6:$G$2819,$G1157))</f>
        <v/>
      </c>
      <c r="G1157" t="str">
        <f>IF(1134&lt;=$B$4,IFERROR(MATCH(1134,'EDS Lookup'!$H$6:$H$2819,0),""),"")</f>
        <v/>
      </c>
      <c r="H1157" t="str">
        <f t="shared" si="17"/>
        <v/>
      </c>
    </row>
    <row r="1158" spans="1:8" ht="19.95" customHeight="1">
      <c r="A1158" s="5" t="str">
        <f>IF($G1158="","",INDEX('EDS Lookup'!$D$6:$D$2819,$G1158))</f>
        <v/>
      </c>
      <c r="B1158" s="5" t="str">
        <f>IF($G1158="","",INDEX('EDS Lookup'!$B$6:$B$2819,$G1158))</f>
        <v/>
      </c>
      <c r="C1158" s="17"/>
      <c r="D1158" s="6"/>
      <c r="E1158" s="7" t="str">
        <f>IF($G1158="","",INDEX('EDS Lookup'!$F$6:$F$2819,$G1158))</f>
        <v/>
      </c>
      <c r="F1158" s="8" t="str">
        <f>IF($G1158="","",INDEX('EDS Lookup'!$G$6:$G$2819,$G1158))</f>
        <v/>
      </c>
      <c r="G1158" t="str">
        <f>IF(1135&lt;=$B$4,IFERROR(MATCH(1135,'EDS Lookup'!$H$6:$H$2819,0),""),"")</f>
        <v/>
      </c>
      <c r="H1158" t="str">
        <f t="shared" si="17"/>
        <v/>
      </c>
    </row>
    <row r="1159" spans="1:8" ht="19.95" customHeight="1">
      <c r="A1159" s="5" t="str">
        <f>IF($G1159="","",INDEX('EDS Lookup'!$D$6:$D$2819,$G1159))</f>
        <v/>
      </c>
      <c r="B1159" s="5" t="str">
        <f>IF($G1159="","",INDEX('EDS Lookup'!$B$6:$B$2819,$G1159))</f>
        <v/>
      </c>
      <c r="C1159" s="17"/>
      <c r="D1159" s="6"/>
      <c r="E1159" s="7" t="str">
        <f>IF($G1159="","",INDEX('EDS Lookup'!$F$6:$F$2819,$G1159))</f>
        <v/>
      </c>
      <c r="F1159" s="8" t="str">
        <f>IF($G1159="","",INDEX('EDS Lookup'!$G$6:$G$2819,$G1159))</f>
        <v/>
      </c>
      <c r="G1159" t="str">
        <f>IF(1136&lt;=$B$4,IFERROR(MATCH(1136,'EDS Lookup'!$H$6:$H$2819,0),""),"")</f>
        <v/>
      </c>
      <c r="H1159" t="str">
        <f t="shared" si="17"/>
        <v/>
      </c>
    </row>
    <row r="1160" spans="1:8" ht="19.95" customHeight="1">
      <c r="A1160" s="5" t="str">
        <f>IF($G1160="","",INDEX('EDS Lookup'!$D$6:$D$2819,$G1160))</f>
        <v/>
      </c>
      <c r="B1160" s="5" t="str">
        <f>IF($G1160="","",INDEX('EDS Lookup'!$B$6:$B$2819,$G1160))</f>
        <v/>
      </c>
      <c r="C1160" s="17"/>
      <c r="D1160" s="6"/>
      <c r="E1160" s="7" t="str">
        <f>IF($G1160="","",INDEX('EDS Lookup'!$F$6:$F$2819,$G1160))</f>
        <v/>
      </c>
      <c r="F1160" s="8" t="str">
        <f>IF($G1160="","",INDEX('EDS Lookup'!$G$6:$G$2819,$G1160))</f>
        <v/>
      </c>
      <c r="G1160" t="str">
        <f>IF(1137&lt;=$B$4,IFERROR(MATCH(1137,'EDS Lookup'!$H$6:$H$2819,0),""),"")</f>
        <v/>
      </c>
      <c r="H1160" t="str">
        <f t="shared" si="17"/>
        <v/>
      </c>
    </row>
    <row r="1161" spans="1:8" ht="19.95" customHeight="1">
      <c r="A1161" s="5" t="str">
        <f>IF($G1161="","",INDEX('EDS Lookup'!$D$6:$D$2819,$G1161))</f>
        <v/>
      </c>
      <c r="B1161" s="5" t="str">
        <f>IF($G1161="","",INDEX('EDS Lookup'!$B$6:$B$2819,$G1161))</f>
        <v/>
      </c>
      <c r="C1161" s="17"/>
      <c r="D1161" s="6"/>
      <c r="E1161" s="7" t="str">
        <f>IF($G1161="","",INDEX('EDS Lookup'!$F$6:$F$2819,$G1161))</f>
        <v/>
      </c>
      <c r="F1161" s="8" t="str">
        <f>IF($G1161="","",INDEX('EDS Lookup'!$G$6:$G$2819,$G1161))</f>
        <v/>
      </c>
      <c r="G1161" t="str">
        <f>IF(1138&lt;=$B$4,IFERROR(MATCH(1138,'EDS Lookup'!$H$6:$H$2819,0),""),"")</f>
        <v/>
      </c>
      <c r="H1161" t="str">
        <f t="shared" si="17"/>
        <v/>
      </c>
    </row>
    <row r="1162" spans="1:8" ht="19.95" customHeight="1">
      <c r="A1162" s="5" t="str">
        <f>IF($G1162="","",INDEX('EDS Lookup'!$D$6:$D$2819,$G1162))</f>
        <v/>
      </c>
      <c r="B1162" s="5" t="str">
        <f>IF($G1162="","",INDEX('EDS Lookup'!$B$6:$B$2819,$G1162))</f>
        <v/>
      </c>
      <c r="C1162" s="17"/>
      <c r="D1162" s="6"/>
      <c r="E1162" s="7" t="str">
        <f>IF($G1162="","",INDEX('EDS Lookup'!$F$6:$F$2819,$G1162))</f>
        <v/>
      </c>
      <c r="F1162" s="8" t="str">
        <f>IF($G1162="","",INDEX('EDS Lookup'!$G$6:$G$2819,$G1162))</f>
        <v/>
      </c>
      <c r="G1162" t="str">
        <f>IF(1139&lt;=$B$4,IFERROR(MATCH(1139,'EDS Lookup'!$H$6:$H$2819,0),""),"")</f>
        <v/>
      </c>
      <c r="H1162" t="str">
        <f t="shared" si="17"/>
        <v/>
      </c>
    </row>
    <row r="1163" spans="1:8" ht="19.95" customHeight="1">
      <c r="A1163" s="5" t="str">
        <f>IF($G1163="","",INDEX('EDS Lookup'!$D$6:$D$2819,$G1163))</f>
        <v/>
      </c>
      <c r="B1163" s="5" t="str">
        <f>IF($G1163="","",INDEX('EDS Lookup'!$B$6:$B$2819,$G1163))</f>
        <v/>
      </c>
      <c r="C1163" s="17"/>
      <c r="D1163" s="6"/>
      <c r="E1163" s="7" t="str">
        <f>IF($G1163="","",INDEX('EDS Lookup'!$F$6:$F$2819,$G1163))</f>
        <v/>
      </c>
      <c r="F1163" s="8" t="str">
        <f>IF($G1163="","",INDEX('EDS Lookup'!$G$6:$G$2819,$G1163))</f>
        <v/>
      </c>
      <c r="G1163" t="str">
        <f>IF(1140&lt;=$B$4,IFERROR(MATCH(1140,'EDS Lookup'!$H$6:$H$2819,0),""),"")</f>
        <v/>
      </c>
      <c r="H1163" t="str">
        <f t="shared" si="17"/>
        <v/>
      </c>
    </row>
    <row r="1164" spans="1:8" ht="19.95" customHeight="1">
      <c r="A1164" s="5" t="str">
        <f>IF($G1164="","",INDEX('EDS Lookup'!$D$6:$D$2819,$G1164))</f>
        <v/>
      </c>
      <c r="B1164" s="5" t="str">
        <f>IF($G1164="","",INDEX('EDS Lookup'!$B$6:$B$2819,$G1164))</f>
        <v/>
      </c>
      <c r="C1164" s="17"/>
      <c r="D1164" s="6"/>
      <c r="E1164" s="7" t="str">
        <f>IF($G1164="","",INDEX('EDS Lookup'!$F$6:$F$2819,$G1164))</f>
        <v/>
      </c>
      <c r="F1164" s="8" t="str">
        <f>IF($G1164="","",INDEX('EDS Lookup'!$G$6:$G$2819,$G1164))</f>
        <v/>
      </c>
      <c r="G1164" t="str">
        <f>IF(1141&lt;=$B$4,IFERROR(MATCH(1141,'EDS Lookup'!$H$6:$H$2819,0),""),"")</f>
        <v/>
      </c>
      <c r="H1164" t="str">
        <f t="shared" si="17"/>
        <v/>
      </c>
    </row>
    <row r="1165" spans="1:8" ht="19.95" customHeight="1">
      <c r="A1165" s="5" t="str">
        <f>IF($G1165="","",INDEX('EDS Lookup'!$D$6:$D$2819,$G1165))</f>
        <v/>
      </c>
      <c r="B1165" s="5" t="str">
        <f>IF($G1165="","",INDEX('EDS Lookup'!$B$6:$B$2819,$G1165))</f>
        <v/>
      </c>
      <c r="C1165" s="17"/>
      <c r="D1165" s="6"/>
      <c r="E1165" s="7" t="str">
        <f>IF($G1165="","",INDEX('EDS Lookup'!$F$6:$F$2819,$G1165))</f>
        <v/>
      </c>
      <c r="F1165" s="8" t="str">
        <f>IF($G1165="","",INDEX('EDS Lookup'!$G$6:$G$2819,$G1165))</f>
        <v/>
      </c>
      <c r="G1165" t="str">
        <f>IF(1142&lt;=$B$4,IFERROR(MATCH(1142,'EDS Lookup'!$H$6:$H$2819,0),""),"")</f>
        <v/>
      </c>
      <c r="H1165" t="str">
        <f t="shared" si="17"/>
        <v/>
      </c>
    </row>
    <row r="1166" spans="1:8" ht="19.95" customHeight="1">
      <c r="A1166" s="5" t="str">
        <f>IF($G1166="","",INDEX('EDS Lookup'!$D$6:$D$2819,$G1166))</f>
        <v/>
      </c>
      <c r="B1166" s="5" t="str">
        <f>IF($G1166="","",INDEX('EDS Lookup'!$B$6:$B$2819,$G1166))</f>
        <v/>
      </c>
      <c r="C1166" s="17"/>
      <c r="D1166" s="6"/>
      <c r="E1166" s="7" t="str">
        <f>IF($G1166="","",INDEX('EDS Lookup'!$F$6:$F$2819,$G1166))</f>
        <v/>
      </c>
      <c r="F1166" s="8" t="str">
        <f>IF($G1166="","",INDEX('EDS Lookup'!$G$6:$G$2819,$G1166))</f>
        <v/>
      </c>
      <c r="G1166" t="str">
        <f>IF(1143&lt;=$B$4,IFERROR(MATCH(1143,'EDS Lookup'!$H$6:$H$2819,0),""),"")</f>
        <v/>
      </c>
      <c r="H1166" t="str">
        <f t="shared" si="17"/>
        <v/>
      </c>
    </row>
    <row r="1167" spans="1:8" ht="19.95" customHeight="1">
      <c r="A1167" s="5" t="str">
        <f>IF($G1167="","",INDEX('EDS Lookup'!$D$6:$D$2819,$G1167))</f>
        <v/>
      </c>
      <c r="B1167" s="5" t="str">
        <f>IF($G1167="","",INDEX('EDS Lookup'!$B$6:$B$2819,$G1167))</f>
        <v/>
      </c>
      <c r="C1167" s="17"/>
      <c r="D1167" s="6"/>
      <c r="E1167" s="7" t="str">
        <f>IF($G1167="","",INDEX('EDS Lookup'!$F$6:$F$2819,$G1167))</f>
        <v/>
      </c>
      <c r="F1167" s="8" t="str">
        <f>IF($G1167="","",INDEX('EDS Lookup'!$G$6:$G$2819,$G1167))</f>
        <v/>
      </c>
      <c r="G1167" t="str">
        <f>IF(1144&lt;=$B$4,IFERROR(MATCH(1144,'EDS Lookup'!$H$6:$H$2819,0),""),"")</f>
        <v/>
      </c>
      <c r="H1167" t="str">
        <f t="shared" si="17"/>
        <v/>
      </c>
    </row>
    <row r="1168" spans="1:8" ht="19.95" customHeight="1">
      <c r="A1168" s="5" t="str">
        <f>IF($G1168="","",INDEX('EDS Lookup'!$D$6:$D$2819,$G1168))</f>
        <v/>
      </c>
      <c r="B1168" s="5" t="str">
        <f>IF($G1168="","",INDEX('EDS Lookup'!$B$6:$B$2819,$G1168))</f>
        <v/>
      </c>
      <c r="C1168" s="17"/>
      <c r="D1168" s="6"/>
      <c r="E1168" s="7" t="str">
        <f>IF($G1168="","",INDEX('EDS Lookup'!$F$6:$F$2819,$G1168))</f>
        <v/>
      </c>
      <c r="F1168" s="8" t="str">
        <f>IF($G1168="","",INDEX('EDS Lookup'!$G$6:$G$2819,$G1168))</f>
        <v/>
      </c>
      <c r="G1168" t="str">
        <f>IF(1145&lt;=$B$4,IFERROR(MATCH(1145,'EDS Lookup'!$H$6:$H$2819,0),""),"")</f>
        <v/>
      </c>
      <c r="H1168" t="str">
        <f t="shared" si="17"/>
        <v/>
      </c>
    </row>
    <row r="1169" spans="1:8" ht="19.95" customHeight="1">
      <c r="A1169" s="5" t="str">
        <f>IF($G1169="","",INDEX('EDS Lookup'!$D$6:$D$2819,$G1169))</f>
        <v/>
      </c>
      <c r="B1169" s="5" t="str">
        <f>IF($G1169="","",INDEX('EDS Lookup'!$B$6:$B$2819,$G1169))</f>
        <v/>
      </c>
      <c r="C1169" s="17"/>
      <c r="D1169" s="6"/>
      <c r="E1169" s="7" t="str">
        <f>IF($G1169="","",INDEX('EDS Lookup'!$F$6:$F$2819,$G1169))</f>
        <v/>
      </c>
      <c r="F1169" s="8" t="str">
        <f>IF($G1169="","",INDEX('EDS Lookup'!$G$6:$G$2819,$G1169))</f>
        <v/>
      </c>
      <c r="G1169" t="str">
        <f>IF(1146&lt;=$B$4,IFERROR(MATCH(1146,'EDS Lookup'!$H$6:$H$2819,0),""),"")</f>
        <v/>
      </c>
      <c r="H1169" t="str">
        <f t="shared" si="17"/>
        <v/>
      </c>
    </row>
    <row r="1170" spans="1:8" ht="19.95" customHeight="1">
      <c r="A1170" s="5" t="str">
        <f>IF($G1170="","",INDEX('EDS Lookup'!$D$6:$D$2819,$G1170))</f>
        <v/>
      </c>
      <c r="B1170" s="5" t="str">
        <f>IF($G1170="","",INDEX('EDS Lookup'!$B$6:$B$2819,$G1170))</f>
        <v/>
      </c>
      <c r="C1170" s="17"/>
      <c r="D1170" s="6"/>
      <c r="E1170" s="7" t="str">
        <f>IF($G1170="","",INDEX('EDS Lookup'!$F$6:$F$2819,$G1170))</f>
        <v/>
      </c>
      <c r="F1170" s="8" t="str">
        <f>IF($G1170="","",INDEX('EDS Lookup'!$G$6:$G$2819,$G1170))</f>
        <v/>
      </c>
      <c r="G1170" t="str">
        <f>IF(1147&lt;=$B$4,IFERROR(MATCH(1147,'EDS Lookup'!$H$6:$H$2819,0),""),"")</f>
        <v/>
      </c>
      <c r="H1170" t="str">
        <f t="shared" si="17"/>
        <v/>
      </c>
    </row>
    <row r="1171" spans="1:8" ht="19.95" customHeight="1">
      <c r="A1171" s="5" t="str">
        <f>IF($G1171="","",INDEX('EDS Lookup'!$D$6:$D$2819,$G1171))</f>
        <v/>
      </c>
      <c r="B1171" s="5" t="str">
        <f>IF($G1171="","",INDEX('EDS Lookup'!$B$6:$B$2819,$G1171))</f>
        <v/>
      </c>
      <c r="C1171" s="17"/>
      <c r="D1171" s="6"/>
      <c r="E1171" s="7" t="str">
        <f>IF($G1171="","",INDEX('EDS Lookup'!$F$6:$F$2819,$G1171))</f>
        <v/>
      </c>
      <c r="F1171" s="8" t="str">
        <f>IF($G1171="","",INDEX('EDS Lookup'!$G$6:$G$2819,$G1171))</f>
        <v/>
      </c>
      <c r="G1171" t="str">
        <f>IF(1148&lt;=$B$4,IFERROR(MATCH(1148,'EDS Lookup'!$H$6:$H$2819,0),""),"")</f>
        <v/>
      </c>
      <c r="H1171" t="str">
        <f t="shared" si="17"/>
        <v/>
      </c>
    </row>
    <row r="1172" spans="1:8" ht="19.95" customHeight="1">
      <c r="A1172" s="5" t="str">
        <f>IF($G1172="","",INDEX('EDS Lookup'!$D$6:$D$2819,$G1172))</f>
        <v/>
      </c>
      <c r="B1172" s="5" t="str">
        <f>IF($G1172="","",INDEX('EDS Lookup'!$B$6:$B$2819,$G1172))</f>
        <v/>
      </c>
      <c r="C1172" s="17"/>
      <c r="D1172" s="6"/>
      <c r="E1172" s="7" t="str">
        <f>IF($G1172="","",INDEX('EDS Lookup'!$F$6:$F$2819,$G1172))</f>
        <v/>
      </c>
      <c r="F1172" s="8" t="str">
        <f>IF($G1172="","",INDEX('EDS Lookup'!$G$6:$G$2819,$G1172))</f>
        <v/>
      </c>
      <c r="G1172" t="str">
        <f>IF(1149&lt;=$B$4,IFERROR(MATCH(1149,'EDS Lookup'!$H$6:$H$2819,0),""),"")</f>
        <v/>
      </c>
      <c r="H1172" t="str">
        <f t="shared" si="17"/>
        <v/>
      </c>
    </row>
    <row r="1173" spans="1:8" ht="19.95" customHeight="1">
      <c r="A1173" s="5" t="str">
        <f>IF($G1173="","",INDEX('EDS Lookup'!$D$6:$D$2819,$G1173))</f>
        <v/>
      </c>
      <c r="B1173" s="5" t="str">
        <f>IF($G1173="","",INDEX('EDS Lookup'!$B$6:$B$2819,$G1173))</f>
        <v/>
      </c>
      <c r="C1173" s="17"/>
      <c r="D1173" s="6"/>
      <c r="E1173" s="7" t="str">
        <f>IF($G1173="","",INDEX('EDS Lookup'!$F$6:$F$2819,$G1173))</f>
        <v/>
      </c>
      <c r="F1173" s="8" t="str">
        <f>IF($G1173="","",INDEX('EDS Lookup'!$G$6:$G$2819,$G1173))</f>
        <v/>
      </c>
      <c r="G1173" t="str">
        <f>IF(1150&lt;=$B$4,IFERROR(MATCH(1150,'EDS Lookup'!$H$6:$H$2819,0),""),"")</f>
        <v/>
      </c>
      <c r="H1173" t="str">
        <f t="shared" si="17"/>
        <v/>
      </c>
    </row>
    <row r="1174" spans="1:8" ht="19.95" customHeight="1">
      <c r="A1174" s="5" t="str">
        <f>IF($G1174="","",INDEX('EDS Lookup'!$D$6:$D$2819,$G1174))</f>
        <v/>
      </c>
      <c r="B1174" s="5" t="str">
        <f>IF($G1174="","",INDEX('EDS Lookup'!$B$6:$B$2819,$G1174))</f>
        <v/>
      </c>
      <c r="C1174" s="17"/>
      <c r="D1174" s="6"/>
      <c r="E1174" s="7" t="str">
        <f>IF($G1174="","",INDEX('EDS Lookup'!$F$6:$F$2819,$G1174))</f>
        <v/>
      </c>
      <c r="F1174" s="8" t="str">
        <f>IF($G1174="","",INDEX('EDS Lookup'!$G$6:$G$2819,$G1174))</f>
        <v/>
      </c>
      <c r="G1174" t="str">
        <f>IF(1151&lt;=$B$4,IFERROR(MATCH(1151,'EDS Lookup'!$H$6:$H$2819,0),""),"")</f>
        <v/>
      </c>
      <c r="H1174" t="str">
        <f t="shared" si="17"/>
        <v/>
      </c>
    </row>
    <row r="1175" spans="1:8" ht="19.95" customHeight="1">
      <c r="A1175" s="5" t="str">
        <f>IF($G1175="","",INDEX('EDS Lookup'!$D$6:$D$2819,$G1175))</f>
        <v/>
      </c>
      <c r="B1175" s="5" t="str">
        <f>IF($G1175="","",INDEX('EDS Lookup'!$B$6:$B$2819,$G1175))</f>
        <v/>
      </c>
      <c r="C1175" s="17"/>
      <c r="D1175" s="6"/>
      <c r="E1175" s="7" t="str">
        <f>IF($G1175="","",INDEX('EDS Lookup'!$F$6:$F$2819,$G1175))</f>
        <v/>
      </c>
      <c r="F1175" s="8" t="str">
        <f>IF($G1175="","",INDEX('EDS Lookup'!$G$6:$G$2819,$G1175))</f>
        <v/>
      </c>
      <c r="G1175" t="str">
        <f>IF(1152&lt;=$B$4,IFERROR(MATCH(1152,'EDS Lookup'!$H$6:$H$2819,0),""),"")</f>
        <v/>
      </c>
      <c r="H1175" t="str">
        <f t="shared" si="17"/>
        <v/>
      </c>
    </row>
    <row r="1176" spans="1:8" ht="19.95" customHeight="1">
      <c r="A1176" s="5" t="str">
        <f>IF($G1176="","",INDEX('EDS Lookup'!$D$6:$D$2819,$G1176))</f>
        <v/>
      </c>
      <c r="B1176" s="5" t="str">
        <f>IF($G1176="","",INDEX('EDS Lookup'!$B$6:$B$2819,$G1176))</f>
        <v/>
      </c>
      <c r="C1176" s="17"/>
      <c r="D1176" s="6"/>
      <c r="E1176" s="7" t="str">
        <f>IF($G1176="","",INDEX('EDS Lookup'!$F$6:$F$2819,$G1176))</f>
        <v/>
      </c>
      <c r="F1176" s="8" t="str">
        <f>IF($G1176="","",INDEX('EDS Lookup'!$G$6:$G$2819,$G1176))</f>
        <v/>
      </c>
      <c r="G1176" t="str">
        <f>IF(1153&lt;=$B$4,IFERROR(MATCH(1153,'EDS Lookup'!$H$6:$H$2819,0),""),"")</f>
        <v/>
      </c>
      <c r="H1176" t="str">
        <f t="shared" ref="H1176:H1239" si="18">IF(F1176="&lt;5",5,IF(F1176="&gt;95",95,IF(ISNUMBER(F1176),F1176,"")))</f>
        <v/>
      </c>
    </row>
    <row r="1177" spans="1:8" ht="19.95" customHeight="1">
      <c r="A1177" s="5" t="str">
        <f>IF($G1177="","",INDEX('EDS Lookup'!$D$6:$D$2819,$G1177))</f>
        <v/>
      </c>
      <c r="B1177" s="5" t="str">
        <f>IF($G1177="","",INDEX('EDS Lookup'!$B$6:$B$2819,$G1177))</f>
        <v/>
      </c>
      <c r="C1177" s="17"/>
      <c r="D1177" s="6"/>
      <c r="E1177" s="7" t="str">
        <f>IF($G1177="","",INDEX('EDS Lookup'!$F$6:$F$2819,$G1177))</f>
        <v/>
      </c>
      <c r="F1177" s="8" t="str">
        <f>IF($G1177="","",INDEX('EDS Lookup'!$G$6:$G$2819,$G1177))</f>
        <v/>
      </c>
      <c r="G1177" t="str">
        <f>IF(1154&lt;=$B$4,IFERROR(MATCH(1154,'EDS Lookup'!$H$6:$H$2819,0),""),"")</f>
        <v/>
      </c>
      <c r="H1177" t="str">
        <f t="shared" si="18"/>
        <v/>
      </c>
    </row>
    <row r="1178" spans="1:8" ht="19.95" customHeight="1">
      <c r="A1178" s="5" t="str">
        <f>IF($G1178="","",INDEX('EDS Lookup'!$D$6:$D$2819,$G1178))</f>
        <v/>
      </c>
      <c r="B1178" s="5" t="str">
        <f>IF($G1178="","",INDEX('EDS Lookup'!$B$6:$B$2819,$G1178))</f>
        <v/>
      </c>
      <c r="C1178" s="17"/>
      <c r="D1178" s="6"/>
      <c r="E1178" s="7" t="str">
        <f>IF($G1178="","",INDEX('EDS Lookup'!$F$6:$F$2819,$G1178))</f>
        <v/>
      </c>
      <c r="F1178" s="8" t="str">
        <f>IF($G1178="","",INDEX('EDS Lookup'!$G$6:$G$2819,$G1178))</f>
        <v/>
      </c>
      <c r="G1178" t="str">
        <f>IF(1155&lt;=$B$4,IFERROR(MATCH(1155,'EDS Lookup'!$H$6:$H$2819,0),""),"")</f>
        <v/>
      </c>
      <c r="H1178" t="str">
        <f t="shared" si="18"/>
        <v/>
      </c>
    </row>
    <row r="1179" spans="1:8" ht="19.95" customHeight="1">
      <c r="A1179" s="5" t="str">
        <f>IF($G1179="","",INDEX('EDS Lookup'!$D$6:$D$2819,$G1179))</f>
        <v/>
      </c>
      <c r="B1179" s="5" t="str">
        <f>IF($G1179="","",INDEX('EDS Lookup'!$B$6:$B$2819,$G1179))</f>
        <v/>
      </c>
      <c r="C1179" s="17"/>
      <c r="D1179" s="6"/>
      <c r="E1179" s="7" t="str">
        <f>IF($G1179="","",INDEX('EDS Lookup'!$F$6:$F$2819,$G1179))</f>
        <v/>
      </c>
      <c r="F1179" s="8" t="str">
        <f>IF($G1179="","",INDEX('EDS Lookup'!$G$6:$G$2819,$G1179))</f>
        <v/>
      </c>
      <c r="G1179" t="str">
        <f>IF(1156&lt;=$B$4,IFERROR(MATCH(1156,'EDS Lookup'!$H$6:$H$2819,0),""),"")</f>
        <v/>
      </c>
      <c r="H1179" t="str">
        <f t="shared" si="18"/>
        <v/>
      </c>
    </row>
    <row r="1180" spans="1:8" ht="19.95" customHeight="1">
      <c r="A1180" s="5" t="str">
        <f>IF($G1180="","",INDEX('EDS Lookup'!$D$6:$D$2819,$G1180))</f>
        <v/>
      </c>
      <c r="B1180" s="5" t="str">
        <f>IF($G1180="","",INDEX('EDS Lookup'!$B$6:$B$2819,$G1180))</f>
        <v/>
      </c>
      <c r="C1180" s="17"/>
      <c r="D1180" s="6"/>
      <c r="E1180" s="7" t="str">
        <f>IF($G1180="","",INDEX('EDS Lookup'!$F$6:$F$2819,$G1180))</f>
        <v/>
      </c>
      <c r="F1180" s="8" t="str">
        <f>IF($G1180="","",INDEX('EDS Lookup'!$G$6:$G$2819,$G1180))</f>
        <v/>
      </c>
      <c r="G1180" t="str">
        <f>IF(1157&lt;=$B$4,IFERROR(MATCH(1157,'EDS Lookup'!$H$6:$H$2819,0),""),"")</f>
        <v/>
      </c>
      <c r="H1180" t="str">
        <f t="shared" si="18"/>
        <v/>
      </c>
    </row>
    <row r="1181" spans="1:8" ht="19.95" customHeight="1">
      <c r="A1181" s="5" t="str">
        <f>IF($G1181="","",INDEX('EDS Lookup'!$D$6:$D$2819,$G1181))</f>
        <v/>
      </c>
      <c r="B1181" s="5" t="str">
        <f>IF($G1181="","",INDEX('EDS Lookup'!$B$6:$B$2819,$G1181))</f>
        <v/>
      </c>
      <c r="C1181" s="17"/>
      <c r="D1181" s="6"/>
      <c r="E1181" s="7" t="str">
        <f>IF($G1181="","",INDEX('EDS Lookup'!$F$6:$F$2819,$G1181))</f>
        <v/>
      </c>
      <c r="F1181" s="8" t="str">
        <f>IF($G1181="","",INDEX('EDS Lookup'!$G$6:$G$2819,$G1181))</f>
        <v/>
      </c>
      <c r="G1181" t="str">
        <f>IF(1158&lt;=$B$4,IFERROR(MATCH(1158,'EDS Lookup'!$H$6:$H$2819,0),""),"")</f>
        <v/>
      </c>
      <c r="H1181" t="str">
        <f t="shared" si="18"/>
        <v/>
      </c>
    </row>
    <row r="1182" spans="1:8" ht="19.95" customHeight="1">
      <c r="A1182" s="5" t="str">
        <f>IF($G1182="","",INDEX('EDS Lookup'!$D$6:$D$2819,$G1182))</f>
        <v/>
      </c>
      <c r="B1182" s="5" t="str">
        <f>IF($G1182="","",INDEX('EDS Lookup'!$B$6:$B$2819,$G1182))</f>
        <v/>
      </c>
      <c r="C1182" s="17"/>
      <c r="D1182" s="6"/>
      <c r="E1182" s="7" t="str">
        <f>IF($G1182="","",INDEX('EDS Lookup'!$F$6:$F$2819,$G1182))</f>
        <v/>
      </c>
      <c r="F1182" s="8" t="str">
        <f>IF($G1182="","",INDEX('EDS Lookup'!$G$6:$G$2819,$G1182))</f>
        <v/>
      </c>
      <c r="G1182" t="str">
        <f>IF(1159&lt;=$B$4,IFERROR(MATCH(1159,'EDS Lookup'!$H$6:$H$2819,0),""),"")</f>
        <v/>
      </c>
      <c r="H1182" t="str">
        <f t="shared" si="18"/>
        <v/>
      </c>
    </row>
    <row r="1183" spans="1:8" ht="19.95" customHeight="1">
      <c r="A1183" s="5" t="str">
        <f>IF($G1183="","",INDEX('EDS Lookup'!$D$6:$D$2819,$G1183))</f>
        <v/>
      </c>
      <c r="B1183" s="5" t="str">
        <f>IF($G1183="","",INDEX('EDS Lookup'!$B$6:$B$2819,$G1183))</f>
        <v/>
      </c>
      <c r="C1183" s="17"/>
      <c r="D1183" s="6"/>
      <c r="E1183" s="7" t="str">
        <f>IF($G1183="","",INDEX('EDS Lookup'!$F$6:$F$2819,$G1183))</f>
        <v/>
      </c>
      <c r="F1183" s="8" t="str">
        <f>IF($G1183="","",INDEX('EDS Lookup'!$G$6:$G$2819,$G1183))</f>
        <v/>
      </c>
      <c r="G1183" t="str">
        <f>IF(1160&lt;=$B$4,IFERROR(MATCH(1160,'EDS Lookup'!$H$6:$H$2819,0),""),"")</f>
        <v/>
      </c>
      <c r="H1183" t="str">
        <f t="shared" si="18"/>
        <v/>
      </c>
    </row>
    <row r="1184" spans="1:8" ht="19.95" customHeight="1">
      <c r="A1184" s="5" t="str">
        <f>IF($G1184="","",INDEX('EDS Lookup'!$D$6:$D$2819,$G1184))</f>
        <v/>
      </c>
      <c r="B1184" s="5" t="str">
        <f>IF($G1184="","",INDEX('EDS Lookup'!$B$6:$B$2819,$G1184))</f>
        <v/>
      </c>
      <c r="C1184" s="17"/>
      <c r="D1184" s="6"/>
      <c r="E1184" s="7" t="str">
        <f>IF($G1184="","",INDEX('EDS Lookup'!$F$6:$F$2819,$G1184))</f>
        <v/>
      </c>
      <c r="F1184" s="8" t="str">
        <f>IF($G1184="","",INDEX('EDS Lookup'!$G$6:$G$2819,$G1184))</f>
        <v/>
      </c>
      <c r="G1184" t="str">
        <f>IF(1161&lt;=$B$4,IFERROR(MATCH(1161,'EDS Lookup'!$H$6:$H$2819,0),""),"")</f>
        <v/>
      </c>
      <c r="H1184" t="str">
        <f t="shared" si="18"/>
        <v/>
      </c>
    </row>
    <row r="1185" spans="1:8" ht="19.95" customHeight="1">
      <c r="A1185" s="5" t="str">
        <f>IF($G1185="","",INDEX('EDS Lookup'!$D$6:$D$2819,$G1185))</f>
        <v/>
      </c>
      <c r="B1185" s="5" t="str">
        <f>IF($G1185="","",INDEX('EDS Lookup'!$B$6:$B$2819,$G1185))</f>
        <v/>
      </c>
      <c r="C1185" s="17"/>
      <c r="D1185" s="6"/>
      <c r="E1185" s="7" t="str">
        <f>IF($G1185="","",INDEX('EDS Lookup'!$F$6:$F$2819,$G1185))</f>
        <v/>
      </c>
      <c r="F1185" s="8" t="str">
        <f>IF($G1185="","",INDEX('EDS Lookup'!$G$6:$G$2819,$G1185))</f>
        <v/>
      </c>
      <c r="G1185" t="str">
        <f>IF(1162&lt;=$B$4,IFERROR(MATCH(1162,'EDS Lookup'!$H$6:$H$2819,0),""),"")</f>
        <v/>
      </c>
      <c r="H1185" t="str">
        <f t="shared" si="18"/>
        <v/>
      </c>
    </row>
    <row r="1186" spans="1:8" ht="19.95" customHeight="1">
      <c r="A1186" s="5" t="str">
        <f>IF($G1186="","",INDEX('EDS Lookup'!$D$6:$D$2819,$G1186))</f>
        <v/>
      </c>
      <c r="B1186" s="5" t="str">
        <f>IF($G1186="","",INDEX('EDS Lookup'!$B$6:$B$2819,$G1186))</f>
        <v/>
      </c>
      <c r="C1186" s="17"/>
      <c r="D1186" s="6"/>
      <c r="E1186" s="7" t="str">
        <f>IF($G1186="","",INDEX('EDS Lookup'!$F$6:$F$2819,$G1186))</f>
        <v/>
      </c>
      <c r="F1186" s="8" t="str">
        <f>IF($G1186="","",INDEX('EDS Lookup'!$G$6:$G$2819,$G1186))</f>
        <v/>
      </c>
      <c r="G1186" t="str">
        <f>IF(1163&lt;=$B$4,IFERROR(MATCH(1163,'EDS Lookup'!$H$6:$H$2819,0),""),"")</f>
        <v/>
      </c>
      <c r="H1186" t="str">
        <f t="shared" si="18"/>
        <v/>
      </c>
    </row>
    <row r="1187" spans="1:8" ht="19.95" customHeight="1">
      <c r="A1187" s="5" t="str">
        <f>IF($G1187="","",INDEX('EDS Lookup'!$D$6:$D$2819,$G1187))</f>
        <v/>
      </c>
      <c r="B1187" s="5" t="str">
        <f>IF($G1187="","",INDEX('EDS Lookup'!$B$6:$B$2819,$G1187))</f>
        <v/>
      </c>
      <c r="C1187" s="17"/>
      <c r="D1187" s="6"/>
      <c r="E1187" s="7" t="str">
        <f>IF($G1187="","",INDEX('EDS Lookup'!$F$6:$F$2819,$G1187))</f>
        <v/>
      </c>
      <c r="F1187" s="8" t="str">
        <f>IF($G1187="","",INDEX('EDS Lookup'!$G$6:$G$2819,$G1187))</f>
        <v/>
      </c>
      <c r="G1187" t="str">
        <f>IF(1164&lt;=$B$4,IFERROR(MATCH(1164,'EDS Lookup'!$H$6:$H$2819,0),""),"")</f>
        <v/>
      </c>
      <c r="H1187" t="str">
        <f t="shared" si="18"/>
        <v/>
      </c>
    </row>
    <row r="1188" spans="1:8" ht="19.95" customHeight="1">
      <c r="A1188" s="5" t="str">
        <f>IF($G1188="","",INDEX('EDS Lookup'!$D$6:$D$2819,$G1188))</f>
        <v/>
      </c>
      <c r="B1188" s="5" t="str">
        <f>IF($G1188="","",INDEX('EDS Lookup'!$B$6:$B$2819,$G1188))</f>
        <v/>
      </c>
      <c r="C1188" s="17"/>
      <c r="D1188" s="6"/>
      <c r="E1188" s="7" t="str">
        <f>IF($G1188="","",INDEX('EDS Lookup'!$F$6:$F$2819,$G1188))</f>
        <v/>
      </c>
      <c r="F1188" s="8" t="str">
        <f>IF($G1188="","",INDEX('EDS Lookup'!$G$6:$G$2819,$G1188))</f>
        <v/>
      </c>
      <c r="G1188" t="str">
        <f>IF(1165&lt;=$B$4,IFERROR(MATCH(1165,'EDS Lookup'!$H$6:$H$2819,0),""),"")</f>
        <v/>
      </c>
      <c r="H1188" t="str">
        <f t="shared" si="18"/>
        <v/>
      </c>
    </row>
    <row r="1189" spans="1:8" ht="19.95" customHeight="1">
      <c r="A1189" s="5" t="str">
        <f>IF($G1189="","",INDEX('EDS Lookup'!$D$6:$D$2819,$G1189))</f>
        <v/>
      </c>
      <c r="B1189" s="5" t="str">
        <f>IF($G1189="","",INDEX('EDS Lookup'!$B$6:$B$2819,$G1189))</f>
        <v/>
      </c>
      <c r="C1189" s="17"/>
      <c r="D1189" s="6"/>
      <c r="E1189" s="7" t="str">
        <f>IF($G1189="","",INDEX('EDS Lookup'!$F$6:$F$2819,$G1189))</f>
        <v/>
      </c>
      <c r="F1189" s="8" t="str">
        <f>IF($G1189="","",INDEX('EDS Lookup'!$G$6:$G$2819,$G1189))</f>
        <v/>
      </c>
      <c r="G1189" t="str">
        <f>IF(1166&lt;=$B$4,IFERROR(MATCH(1166,'EDS Lookup'!$H$6:$H$2819,0),""),"")</f>
        <v/>
      </c>
      <c r="H1189" t="str">
        <f t="shared" si="18"/>
        <v/>
      </c>
    </row>
    <row r="1190" spans="1:8" ht="19.95" customHeight="1">
      <c r="A1190" s="5" t="str">
        <f>IF($G1190="","",INDEX('EDS Lookup'!$D$6:$D$2819,$G1190))</f>
        <v/>
      </c>
      <c r="B1190" s="5" t="str">
        <f>IF($G1190="","",INDEX('EDS Lookup'!$B$6:$B$2819,$G1190))</f>
        <v/>
      </c>
      <c r="C1190" s="17"/>
      <c r="D1190" s="6"/>
      <c r="E1190" s="7" t="str">
        <f>IF($G1190="","",INDEX('EDS Lookup'!$F$6:$F$2819,$G1190))</f>
        <v/>
      </c>
      <c r="F1190" s="8" t="str">
        <f>IF($G1190="","",INDEX('EDS Lookup'!$G$6:$G$2819,$G1190))</f>
        <v/>
      </c>
      <c r="G1190" t="str">
        <f>IF(1167&lt;=$B$4,IFERROR(MATCH(1167,'EDS Lookup'!$H$6:$H$2819,0),""),"")</f>
        <v/>
      </c>
      <c r="H1190" t="str">
        <f t="shared" si="18"/>
        <v/>
      </c>
    </row>
    <row r="1191" spans="1:8" ht="19.95" customHeight="1">
      <c r="A1191" s="5" t="str">
        <f>IF($G1191="","",INDEX('EDS Lookup'!$D$6:$D$2819,$G1191))</f>
        <v/>
      </c>
      <c r="B1191" s="5" t="str">
        <f>IF($G1191="","",INDEX('EDS Lookup'!$B$6:$B$2819,$G1191))</f>
        <v/>
      </c>
      <c r="C1191" s="17"/>
      <c r="D1191" s="6"/>
      <c r="E1191" s="7" t="str">
        <f>IF($G1191="","",INDEX('EDS Lookup'!$F$6:$F$2819,$G1191))</f>
        <v/>
      </c>
      <c r="F1191" s="8" t="str">
        <f>IF($G1191="","",INDEX('EDS Lookup'!$G$6:$G$2819,$G1191))</f>
        <v/>
      </c>
      <c r="G1191" t="str">
        <f>IF(1168&lt;=$B$4,IFERROR(MATCH(1168,'EDS Lookup'!$H$6:$H$2819,0),""),"")</f>
        <v/>
      </c>
      <c r="H1191" t="str">
        <f t="shared" si="18"/>
        <v/>
      </c>
    </row>
    <row r="1192" spans="1:8" ht="19.95" customHeight="1">
      <c r="A1192" s="5" t="str">
        <f>IF($G1192="","",INDEX('EDS Lookup'!$D$6:$D$2819,$G1192))</f>
        <v/>
      </c>
      <c r="B1192" s="5" t="str">
        <f>IF($G1192="","",INDEX('EDS Lookup'!$B$6:$B$2819,$G1192))</f>
        <v/>
      </c>
      <c r="C1192" s="17"/>
      <c r="D1192" s="6"/>
      <c r="E1192" s="7" t="str">
        <f>IF($G1192="","",INDEX('EDS Lookup'!$F$6:$F$2819,$G1192))</f>
        <v/>
      </c>
      <c r="F1192" s="8" t="str">
        <f>IF($G1192="","",INDEX('EDS Lookup'!$G$6:$G$2819,$G1192))</f>
        <v/>
      </c>
      <c r="G1192" t="str">
        <f>IF(1169&lt;=$B$4,IFERROR(MATCH(1169,'EDS Lookup'!$H$6:$H$2819,0),""),"")</f>
        <v/>
      </c>
      <c r="H1192" t="str">
        <f t="shared" si="18"/>
        <v/>
      </c>
    </row>
    <row r="1193" spans="1:8" ht="19.95" customHeight="1">
      <c r="A1193" s="5" t="str">
        <f>IF($G1193="","",INDEX('EDS Lookup'!$D$6:$D$2819,$G1193))</f>
        <v/>
      </c>
      <c r="B1193" s="5" t="str">
        <f>IF($G1193="","",INDEX('EDS Lookup'!$B$6:$B$2819,$G1193))</f>
        <v/>
      </c>
      <c r="C1193" s="17"/>
      <c r="D1193" s="6"/>
      <c r="E1193" s="7" t="str">
        <f>IF($G1193="","",INDEX('EDS Lookup'!$F$6:$F$2819,$G1193))</f>
        <v/>
      </c>
      <c r="F1193" s="8" t="str">
        <f>IF($G1193="","",INDEX('EDS Lookup'!$G$6:$G$2819,$G1193))</f>
        <v/>
      </c>
      <c r="G1193" t="str">
        <f>IF(1170&lt;=$B$4,IFERROR(MATCH(1170,'EDS Lookup'!$H$6:$H$2819,0),""),"")</f>
        <v/>
      </c>
      <c r="H1193" t="str">
        <f t="shared" si="18"/>
        <v/>
      </c>
    </row>
    <row r="1194" spans="1:8" ht="19.95" customHeight="1">
      <c r="A1194" s="5" t="str">
        <f>IF($G1194="","",INDEX('EDS Lookup'!$D$6:$D$2819,$G1194))</f>
        <v/>
      </c>
      <c r="B1194" s="5" t="str">
        <f>IF($G1194="","",INDEX('EDS Lookup'!$B$6:$B$2819,$G1194))</f>
        <v/>
      </c>
      <c r="C1194" s="17"/>
      <c r="D1194" s="6"/>
      <c r="E1194" s="7" t="str">
        <f>IF($G1194="","",INDEX('EDS Lookup'!$F$6:$F$2819,$G1194))</f>
        <v/>
      </c>
      <c r="F1194" s="8" t="str">
        <f>IF($G1194="","",INDEX('EDS Lookup'!$G$6:$G$2819,$G1194))</f>
        <v/>
      </c>
      <c r="G1194" t="str">
        <f>IF(1171&lt;=$B$4,IFERROR(MATCH(1171,'EDS Lookup'!$H$6:$H$2819,0),""),"")</f>
        <v/>
      </c>
      <c r="H1194" t="str">
        <f t="shared" si="18"/>
        <v/>
      </c>
    </row>
    <row r="1195" spans="1:8" ht="19.95" customHeight="1">
      <c r="A1195" s="5" t="str">
        <f>IF($G1195="","",INDEX('EDS Lookup'!$D$6:$D$2819,$G1195))</f>
        <v/>
      </c>
      <c r="B1195" s="5" t="str">
        <f>IF($G1195="","",INDEX('EDS Lookup'!$B$6:$B$2819,$G1195))</f>
        <v/>
      </c>
      <c r="C1195" s="17"/>
      <c r="D1195" s="6"/>
      <c r="E1195" s="7" t="str">
        <f>IF($G1195="","",INDEX('EDS Lookup'!$F$6:$F$2819,$G1195))</f>
        <v/>
      </c>
      <c r="F1195" s="8" t="str">
        <f>IF($G1195="","",INDEX('EDS Lookup'!$G$6:$G$2819,$G1195))</f>
        <v/>
      </c>
      <c r="G1195" t="str">
        <f>IF(1172&lt;=$B$4,IFERROR(MATCH(1172,'EDS Lookup'!$H$6:$H$2819,0),""),"")</f>
        <v/>
      </c>
      <c r="H1195" t="str">
        <f t="shared" si="18"/>
        <v/>
      </c>
    </row>
    <row r="1196" spans="1:8" ht="19.95" customHeight="1">
      <c r="A1196" s="5" t="str">
        <f>IF($G1196="","",INDEX('EDS Lookup'!$D$6:$D$2819,$G1196))</f>
        <v/>
      </c>
      <c r="B1196" s="5" t="str">
        <f>IF($G1196="","",INDEX('EDS Lookup'!$B$6:$B$2819,$G1196))</f>
        <v/>
      </c>
      <c r="C1196" s="17"/>
      <c r="D1196" s="6"/>
      <c r="E1196" s="7" t="str">
        <f>IF($G1196="","",INDEX('EDS Lookup'!$F$6:$F$2819,$G1196))</f>
        <v/>
      </c>
      <c r="F1196" s="8" t="str">
        <f>IF($G1196="","",INDEX('EDS Lookup'!$G$6:$G$2819,$G1196))</f>
        <v/>
      </c>
      <c r="G1196" t="str">
        <f>IF(1173&lt;=$B$4,IFERROR(MATCH(1173,'EDS Lookup'!$H$6:$H$2819,0),""),"")</f>
        <v/>
      </c>
      <c r="H1196" t="str">
        <f t="shared" si="18"/>
        <v/>
      </c>
    </row>
    <row r="1197" spans="1:8" ht="19.95" customHeight="1">
      <c r="A1197" s="5" t="str">
        <f>IF($G1197="","",INDEX('EDS Lookup'!$D$6:$D$2819,$G1197))</f>
        <v/>
      </c>
      <c r="B1197" s="5" t="str">
        <f>IF($G1197="","",INDEX('EDS Lookup'!$B$6:$B$2819,$G1197))</f>
        <v/>
      </c>
      <c r="C1197" s="17"/>
      <c r="D1197" s="6"/>
      <c r="E1197" s="7" t="str">
        <f>IF($G1197="","",INDEX('EDS Lookup'!$F$6:$F$2819,$G1197))</f>
        <v/>
      </c>
      <c r="F1197" s="8" t="str">
        <f>IF($G1197="","",INDEX('EDS Lookup'!$G$6:$G$2819,$G1197))</f>
        <v/>
      </c>
      <c r="G1197" t="str">
        <f>IF(1174&lt;=$B$4,IFERROR(MATCH(1174,'EDS Lookup'!$H$6:$H$2819,0),""),"")</f>
        <v/>
      </c>
      <c r="H1197" t="str">
        <f t="shared" si="18"/>
        <v/>
      </c>
    </row>
    <row r="1198" spans="1:8" ht="19.95" customHeight="1">
      <c r="A1198" s="5" t="str">
        <f>IF($G1198="","",INDEX('EDS Lookup'!$D$6:$D$2819,$G1198))</f>
        <v/>
      </c>
      <c r="B1198" s="5" t="str">
        <f>IF($G1198="","",INDEX('EDS Lookup'!$B$6:$B$2819,$G1198))</f>
        <v/>
      </c>
      <c r="C1198" s="17"/>
      <c r="D1198" s="6"/>
      <c r="E1198" s="7" t="str">
        <f>IF($G1198="","",INDEX('EDS Lookup'!$F$6:$F$2819,$G1198))</f>
        <v/>
      </c>
      <c r="F1198" s="8" t="str">
        <f>IF($G1198="","",INDEX('EDS Lookup'!$G$6:$G$2819,$G1198))</f>
        <v/>
      </c>
      <c r="G1198" t="str">
        <f>IF(1175&lt;=$B$4,IFERROR(MATCH(1175,'EDS Lookup'!$H$6:$H$2819,0),""),"")</f>
        <v/>
      </c>
      <c r="H1198" t="str">
        <f t="shared" si="18"/>
        <v/>
      </c>
    </row>
    <row r="1199" spans="1:8" ht="19.95" customHeight="1">
      <c r="A1199" s="5" t="str">
        <f>IF($G1199="","",INDEX('EDS Lookup'!$D$6:$D$2819,$G1199))</f>
        <v/>
      </c>
      <c r="B1199" s="5" t="str">
        <f>IF($G1199="","",INDEX('EDS Lookup'!$B$6:$B$2819,$G1199))</f>
        <v/>
      </c>
      <c r="C1199" s="17"/>
      <c r="D1199" s="6"/>
      <c r="E1199" s="7" t="str">
        <f>IF($G1199="","",INDEX('EDS Lookup'!$F$6:$F$2819,$G1199))</f>
        <v/>
      </c>
      <c r="F1199" s="8" t="str">
        <f>IF($G1199="","",INDEX('EDS Lookup'!$G$6:$G$2819,$G1199))</f>
        <v/>
      </c>
      <c r="G1199" t="str">
        <f>IF(1176&lt;=$B$4,IFERROR(MATCH(1176,'EDS Lookup'!$H$6:$H$2819,0),""),"")</f>
        <v/>
      </c>
      <c r="H1199" t="str">
        <f t="shared" si="18"/>
        <v/>
      </c>
    </row>
    <row r="1200" spans="1:8" ht="19.95" customHeight="1">
      <c r="A1200" s="5" t="str">
        <f>IF($G1200="","",INDEX('EDS Lookup'!$D$6:$D$2819,$G1200))</f>
        <v/>
      </c>
      <c r="B1200" s="5" t="str">
        <f>IF($G1200="","",INDEX('EDS Lookup'!$B$6:$B$2819,$G1200))</f>
        <v/>
      </c>
      <c r="C1200" s="17"/>
      <c r="D1200" s="6"/>
      <c r="E1200" s="7" t="str">
        <f>IF($G1200="","",INDEX('EDS Lookup'!$F$6:$F$2819,$G1200))</f>
        <v/>
      </c>
      <c r="F1200" s="8" t="str">
        <f>IF($G1200="","",INDEX('EDS Lookup'!$G$6:$G$2819,$G1200))</f>
        <v/>
      </c>
      <c r="G1200" t="str">
        <f>IF(1177&lt;=$B$4,IFERROR(MATCH(1177,'EDS Lookup'!$H$6:$H$2819,0),""),"")</f>
        <v/>
      </c>
      <c r="H1200" t="str">
        <f t="shared" si="18"/>
        <v/>
      </c>
    </row>
    <row r="1201" spans="1:8" ht="19.95" customHeight="1">
      <c r="A1201" s="5" t="str">
        <f>IF($G1201="","",INDEX('EDS Lookup'!$D$6:$D$2819,$G1201))</f>
        <v/>
      </c>
      <c r="B1201" s="5" t="str">
        <f>IF($G1201="","",INDEX('EDS Lookup'!$B$6:$B$2819,$G1201))</f>
        <v/>
      </c>
      <c r="C1201" s="17"/>
      <c r="D1201" s="6"/>
      <c r="E1201" s="7" t="str">
        <f>IF($G1201="","",INDEX('EDS Lookup'!$F$6:$F$2819,$G1201))</f>
        <v/>
      </c>
      <c r="F1201" s="8" t="str">
        <f>IF($G1201="","",INDEX('EDS Lookup'!$G$6:$G$2819,$G1201))</f>
        <v/>
      </c>
      <c r="G1201" t="str">
        <f>IF(1178&lt;=$B$4,IFERROR(MATCH(1178,'EDS Lookup'!$H$6:$H$2819,0),""),"")</f>
        <v/>
      </c>
      <c r="H1201" t="str">
        <f t="shared" si="18"/>
        <v/>
      </c>
    </row>
    <row r="1202" spans="1:8" ht="19.95" customHeight="1">
      <c r="A1202" s="5" t="str">
        <f>IF($G1202="","",INDEX('EDS Lookup'!$D$6:$D$2819,$G1202))</f>
        <v/>
      </c>
      <c r="B1202" s="5" t="str">
        <f>IF($G1202="","",INDEX('EDS Lookup'!$B$6:$B$2819,$G1202))</f>
        <v/>
      </c>
      <c r="C1202" s="17"/>
      <c r="D1202" s="6"/>
      <c r="E1202" s="7" t="str">
        <f>IF($G1202="","",INDEX('EDS Lookup'!$F$6:$F$2819,$G1202))</f>
        <v/>
      </c>
      <c r="F1202" s="8" t="str">
        <f>IF($G1202="","",INDEX('EDS Lookup'!$G$6:$G$2819,$G1202))</f>
        <v/>
      </c>
      <c r="G1202" t="str">
        <f>IF(1179&lt;=$B$4,IFERROR(MATCH(1179,'EDS Lookup'!$H$6:$H$2819,0),""),"")</f>
        <v/>
      </c>
      <c r="H1202" t="str">
        <f t="shared" si="18"/>
        <v/>
      </c>
    </row>
    <row r="1203" spans="1:8" ht="19.95" customHeight="1">
      <c r="A1203" s="5" t="str">
        <f>IF($G1203="","",INDEX('EDS Lookup'!$D$6:$D$2819,$G1203))</f>
        <v/>
      </c>
      <c r="B1203" s="5" t="str">
        <f>IF($G1203="","",INDEX('EDS Lookup'!$B$6:$B$2819,$G1203))</f>
        <v/>
      </c>
      <c r="C1203" s="17"/>
      <c r="D1203" s="6"/>
      <c r="E1203" s="7" t="str">
        <f>IF($G1203="","",INDEX('EDS Lookup'!$F$6:$F$2819,$G1203))</f>
        <v/>
      </c>
      <c r="F1203" s="8" t="str">
        <f>IF($G1203="","",INDEX('EDS Lookup'!$G$6:$G$2819,$G1203))</f>
        <v/>
      </c>
      <c r="G1203" t="str">
        <f>IF(1180&lt;=$B$4,IFERROR(MATCH(1180,'EDS Lookup'!$H$6:$H$2819,0),""),"")</f>
        <v/>
      </c>
      <c r="H1203" t="str">
        <f t="shared" si="18"/>
        <v/>
      </c>
    </row>
    <row r="1204" spans="1:8" ht="19.95" customHeight="1">
      <c r="A1204" s="5" t="str">
        <f>IF($G1204="","",INDEX('EDS Lookup'!$D$6:$D$2819,$G1204))</f>
        <v/>
      </c>
      <c r="B1204" s="5" t="str">
        <f>IF($G1204="","",INDEX('EDS Lookup'!$B$6:$B$2819,$G1204))</f>
        <v/>
      </c>
      <c r="C1204" s="17"/>
      <c r="D1204" s="6"/>
      <c r="E1204" s="7" t="str">
        <f>IF($G1204="","",INDEX('EDS Lookup'!$F$6:$F$2819,$G1204))</f>
        <v/>
      </c>
      <c r="F1204" s="8" t="str">
        <f>IF($G1204="","",INDEX('EDS Lookup'!$G$6:$G$2819,$G1204))</f>
        <v/>
      </c>
      <c r="G1204" t="str">
        <f>IF(1181&lt;=$B$4,IFERROR(MATCH(1181,'EDS Lookup'!$H$6:$H$2819,0),""),"")</f>
        <v/>
      </c>
      <c r="H1204" t="str">
        <f t="shared" si="18"/>
        <v/>
      </c>
    </row>
    <row r="1205" spans="1:8" ht="19.95" customHeight="1">
      <c r="A1205" s="5" t="str">
        <f>IF($G1205="","",INDEX('EDS Lookup'!$D$6:$D$2819,$G1205))</f>
        <v/>
      </c>
      <c r="B1205" s="5" t="str">
        <f>IF($G1205="","",INDEX('EDS Lookup'!$B$6:$B$2819,$G1205))</f>
        <v/>
      </c>
      <c r="C1205" s="17"/>
      <c r="D1205" s="6"/>
      <c r="E1205" s="7" t="str">
        <f>IF($G1205="","",INDEX('EDS Lookup'!$F$6:$F$2819,$G1205))</f>
        <v/>
      </c>
      <c r="F1205" s="8" t="str">
        <f>IF($G1205="","",INDEX('EDS Lookup'!$G$6:$G$2819,$G1205))</f>
        <v/>
      </c>
      <c r="G1205" t="str">
        <f>IF(1182&lt;=$B$4,IFERROR(MATCH(1182,'EDS Lookup'!$H$6:$H$2819,0),""),"")</f>
        <v/>
      </c>
      <c r="H1205" t="str">
        <f t="shared" si="18"/>
        <v/>
      </c>
    </row>
    <row r="1206" spans="1:8" ht="19.95" customHeight="1">
      <c r="A1206" s="5" t="str">
        <f>IF($G1206="","",INDEX('EDS Lookup'!$D$6:$D$2819,$G1206))</f>
        <v/>
      </c>
      <c r="B1206" s="5" t="str">
        <f>IF($G1206="","",INDEX('EDS Lookup'!$B$6:$B$2819,$G1206))</f>
        <v/>
      </c>
      <c r="C1206" s="17"/>
      <c r="D1206" s="6"/>
      <c r="E1206" s="7" t="str">
        <f>IF($G1206="","",INDEX('EDS Lookup'!$F$6:$F$2819,$G1206))</f>
        <v/>
      </c>
      <c r="F1206" s="8" t="str">
        <f>IF($G1206="","",INDEX('EDS Lookup'!$G$6:$G$2819,$G1206))</f>
        <v/>
      </c>
      <c r="G1206" t="str">
        <f>IF(1183&lt;=$B$4,IFERROR(MATCH(1183,'EDS Lookup'!$H$6:$H$2819,0),""),"")</f>
        <v/>
      </c>
      <c r="H1206" t="str">
        <f t="shared" si="18"/>
        <v/>
      </c>
    </row>
    <row r="1207" spans="1:8" ht="19.95" customHeight="1">
      <c r="A1207" s="5" t="str">
        <f>IF($G1207="","",INDEX('EDS Lookup'!$D$6:$D$2819,$G1207))</f>
        <v/>
      </c>
      <c r="B1207" s="5" t="str">
        <f>IF($G1207="","",INDEX('EDS Lookup'!$B$6:$B$2819,$G1207))</f>
        <v/>
      </c>
      <c r="C1207" s="17"/>
      <c r="D1207" s="6"/>
      <c r="E1207" s="7" t="str">
        <f>IF($G1207="","",INDEX('EDS Lookup'!$F$6:$F$2819,$G1207))</f>
        <v/>
      </c>
      <c r="F1207" s="8" t="str">
        <f>IF($G1207="","",INDEX('EDS Lookup'!$G$6:$G$2819,$G1207))</f>
        <v/>
      </c>
      <c r="G1207" t="str">
        <f>IF(1184&lt;=$B$4,IFERROR(MATCH(1184,'EDS Lookup'!$H$6:$H$2819,0),""),"")</f>
        <v/>
      </c>
      <c r="H1207" t="str">
        <f t="shared" si="18"/>
        <v/>
      </c>
    </row>
    <row r="1208" spans="1:8" ht="19.95" customHeight="1">
      <c r="A1208" s="5" t="str">
        <f>IF($G1208="","",INDEX('EDS Lookup'!$D$6:$D$2819,$G1208))</f>
        <v/>
      </c>
      <c r="B1208" s="5" t="str">
        <f>IF($G1208="","",INDEX('EDS Lookup'!$B$6:$B$2819,$G1208))</f>
        <v/>
      </c>
      <c r="C1208" s="17"/>
      <c r="D1208" s="6"/>
      <c r="E1208" s="7" t="str">
        <f>IF($G1208="","",INDEX('EDS Lookup'!$F$6:$F$2819,$G1208))</f>
        <v/>
      </c>
      <c r="F1208" s="8" t="str">
        <f>IF($G1208="","",INDEX('EDS Lookup'!$G$6:$G$2819,$G1208))</f>
        <v/>
      </c>
      <c r="G1208" t="str">
        <f>IF(1185&lt;=$B$4,IFERROR(MATCH(1185,'EDS Lookup'!$H$6:$H$2819,0),""),"")</f>
        <v/>
      </c>
      <c r="H1208" t="str">
        <f t="shared" si="18"/>
        <v/>
      </c>
    </row>
    <row r="1209" spans="1:8" ht="19.95" customHeight="1">
      <c r="A1209" s="5" t="str">
        <f>IF($G1209="","",INDEX('EDS Lookup'!$D$6:$D$2819,$G1209))</f>
        <v/>
      </c>
      <c r="B1209" s="5" t="str">
        <f>IF($G1209="","",INDEX('EDS Lookup'!$B$6:$B$2819,$G1209))</f>
        <v/>
      </c>
      <c r="C1209" s="17"/>
      <c r="D1209" s="6"/>
      <c r="E1209" s="7" t="str">
        <f>IF($G1209="","",INDEX('EDS Lookup'!$F$6:$F$2819,$G1209))</f>
        <v/>
      </c>
      <c r="F1209" s="8" t="str">
        <f>IF($G1209="","",INDEX('EDS Lookup'!$G$6:$G$2819,$G1209))</f>
        <v/>
      </c>
      <c r="G1209" t="str">
        <f>IF(1186&lt;=$B$4,IFERROR(MATCH(1186,'EDS Lookup'!$H$6:$H$2819,0),""),"")</f>
        <v/>
      </c>
      <c r="H1209" t="str">
        <f t="shared" si="18"/>
        <v/>
      </c>
    </row>
    <row r="1210" spans="1:8" ht="19.95" customHeight="1">
      <c r="A1210" s="5" t="str">
        <f>IF($G1210="","",INDEX('EDS Lookup'!$D$6:$D$2819,$G1210))</f>
        <v/>
      </c>
      <c r="B1210" s="5" t="str">
        <f>IF($G1210="","",INDEX('EDS Lookup'!$B$6:$B$2819,$G1210))</f>
        <v/>
      </c>
      <c r="C1210" s="17"/>
      <c r="D1210" s="6"/>
      <c r="E1210" s="7" t="str">
        <f>IF($G1210="","",INDEX('EDS Lookup'!$F$6:$F$2819,$G1210))</f>
        <v/>
      </c>
      <c r="F1210" s="8" t="str">
        <f>IF($G1210="","",INDEX('EDS Lookup'!$G$6:$G$2819,$G1210))</f>
        <v/>
      </c>
      <c r="G1210" t="str">
        <f>IF(1187&lt;=$B$4,IFERROR(MATCH(1187,'EDS Lookup'!$H$6:$H$2819,0),""),"")</f>
        <v/>
      </c>
      <c r="H1210" t="str">
        <f t="shared" si="18"/>
        <v/>
      </c>
    </row>
    <row r="1211" spans="1:8" ht="19.95" customHeight="1">
      <c r="A1211" s="5" t="str">
        <f>IF($G1211="","",INDEX('EDS Lookup'!$D$6:$D$2819,$G1211))</f>
        <v/>
      </c>
      <c r="B1211" s="5" t="str">
        <f>IF($G1211="","",INDEX('EDS Lookup'!$B$6:$B$2819,$G1211))</f>
        <v/>
      </c>
      <c r="C1211" s="17"/>
      <c r="D1211" s="6"/>
      <c r="E1211" s="7" t="str">
        <f>IF($G1211="","",INDEX('EDS Lookup'!$F$6:$F$2819,$G1211))</f>
        <v/>
      </c>
      <c r="F1211" s="8" t="str">
        <f>IF($G1211="","",INDEX('EDS Lookup'!$G$6:$G$2819,$G1211))</f>
        <v/>
      </c>
      <c r="G1211" t="str">
        <f>IF(1188&lt;=$B$4,IFERROR(MATCH(1188,'EDS Lookup'!$H$6:$H$2819,0),""),"")</f>
        <v/>
      </c>
      <c r="H1211" t="str">
        <f t="shared" si="18"/>
        <v/>
      </c>
    </row>
    <row r="1212" spans="1:8" ht="19.95" customHeight="1">
      <c r="A1212" s="5" t="str">
        <f>IF($G1212="","",INDEX('EDS Lookup'!$D$6:$D$2819,$G1212))</f>
        <v/>
      </c>
      <c r="B1212" s="5" t="str">
        <f>IF($G1212="","",INDEX('EDS Lookup'!$B$6:$B$2819,$G1212))</f>
        <v/>
      </c>
      <c r="C1212" s="17"/>
      <c r="D1212" s="6"/>
      <c r="E1212" s="7" t="str">
        <f>IF($G1212="","",INDEX('EDS Lookup'!$F$6:$F$2819,$G1212))</f>
        <v/>
      </c>
      <c r="F1212" s="8" t="str">
        <f>IF($G1212="","",INDEX('EDS Lookup'!$G$6:$G$2819,$G1212))</f>
        <v/>
      </c>
      <c r="G1212" t="str">
        <f>IF(1189&lt;=$B$4,IFERROR(MATCH(1189,'EDS Lookup'!$H$6:$H$2819,0),""),"")</f>
        <v/>
      </c>
      <c r="H1212" t="str">
        <f t="shared" si="18"/>
        <v/>
      </c>
    </row>
    <row r="1213" spans="1:8" ht="19.95" customHeight="1">
      <c r="A1213" s="5" t="str">
        <f>IF($G1213="","",INDEX('EDS Lookup'!$D$6:$D$2819,$G1213))</f>
        <v/>
      </c>
      <c r="B1213" s="5" t="str">
        <f>IF($G1213="","",INDEX('EDS Lookup'!$B$6:$B$2819,$G1213))</f>
        <v/>
      </c>
      <c r="C1213" s="17"/>
      <c r="D1213" s="6"/>
      <c r="E1213" s="7" t="str">
        <f>IF($G1213="","",INDEX('EDS Lookup'!$F$6:$F$2819,$G1213))</f>
        <v/>
      </c>
      <c r="F1213" s="8" t="str">
        <f>IF($G1213="","",INDEX('EDS Lookup'!$G$6:$G$2819,$G1213))</f>
        <v/>
      </c>
      <c r="G1213" t="str">
        <f>IF(1190&lt;=$B$4,IFERROR(MATCH(1190,'EDS Lookup'!$H$6:$H$2819,0),""),"")</f>
        <v/>
      </c>
      <c r="H1213" t="str">
        <f t="shared" si="18"/>
        <v/>
      </c>
    </row>
    <row r="1214" spans="1:8" ht="19.95" customHeight="1">
      <c r="A1214" s="5" t="str">
        <f>IF($G1214="","",INDEX('EDS Lookup'!$D$6:$D$2819,$G1214))</f>
        <v/>
      </c>
      <c r="B1214" s="5" t="str">
        <f>IF($G1214="","",INDEX('EDS Lookup'!$B$6:$B$2819,$G1214))</f>
        <v/>
      </c>
      <c r="C1214" s="17"/>
      <c r="D1214" s="6"/>
      <c r="E1214" s="7" t="str">
        <f>IF($G1214="","",INDEX('EDS Lookup'!$F$6:$F$2819,$G1214))</f>
        <v/>
      </c>
      <c r="F1214" s="8" t="str">
        <f>IF($G1214="","",INDEX('EDS Lookup'!$G$6:$G$2819,$G1214))</f>
        <v/>
      </c>
      <c r="G1214" t="str">
        <f>IF(1191&lt;=$B$4,IFERROR(MATCH(1191,'EDS Lookup'!$H$6:$H$2819,0),""),"")</f>
        <v/>
      </c>
      <c r="H1214" t="str">
        <f t="shared" si="18"/>
        <v/>
      </c>
    </row>
    <row r="1215" spans="1:8" ht="19.95" customHeight="1">
      <c r="A1215" s="5" t="str">
        <f>IF($G1215="","",INDEX('EDS Lookup'!$D$6:$D$2819,$G1215))</f>
        <v/>
      </c>
      <c r="B1215" s="5" t="str">
        <f>IF($G1215="","",INDEX('EDS Lookup'!$B$6:$B$2819,$G1215))</f>
        <v/>
      </c>
      <c r="C1215" s="17"/>
      <c r="D1215" s="6"/>
      <c r="E1215" s="7" t="str">
        <f>IF($G1215="","",INDEX('EDS Lookup'!$F$6:$F$2819,$G1215))</f>
        <v/>
      </c>
      <c r="F1215" s="8" t="str">
        <f>IF($G1215="","",INDEX('EDS Lookup'!$G$6:$G$2819,$G1215))</f>
        <v/>
      </c>
      <c r="G1215" t="str">
        <f>IF(1192&lt;=$B$4,IFERROR(MATCH(1192,'EDS Lookup'!$H$6:$H$2819,0),""),"")</f>
        <v/>
      </c>
      <c r="H1215" t="str">
        <f t="shared" si="18"/>
        <v/>
      </c>
    </row>
    <row r="1216" spans="1:8" ht="19.95" customHeight="1">
      <c r="A1216" s="5" t="str">
        <f>IF($G1216="","",INDEX('EDS Lookup'!$D$6:$D$2819,$G1216))</f>
        <v/>
      </c>
      <c r="B1216" s="5" t="str">
        <f>IF($G1216="","",INDEX('EDS Lookup'!$B$6:$B$2819,$G1216))</f>
        <v/>
      </c>
      <c r="C1216" s="17"/>
      <c r="D1216" s="6"/>
      <c r="E1216" s="7" t="str">
        <f>IF($G1216="","",INDEX('EDS Lookup'!$F$6:$F$2819,$G1216))</f>
        <v/>
      </c>
      <c r="F1216" s="8" t="str">
        <f>IF($G1216="","",INDEX('EDS Lookup'!$G$6:$G$2819,$G1216))</f>
        <v/>
      </c>
      <c r="G1216" t="str">
        <f>IF(1193&lt;=$B$4,IFERROR(MATCH(1193,'EDS Lookup'!$H$6:$H$2819,0),""),"")</f>
        <v/>
      </c>
      <c r="H1216" t="str">
        <f t="shared" si="18"/>
        <v/>
      </c>
    </row>
    <row r="1217" spans="1:8" ht="19.95" customHeight="1">
      <c r="A1217" s="5" t="str">
        <f>IF($G1217="","",INDEX('EDS Lookup'!$D$6:$D$2819,$G1217))</f>
        <v/>
      </c>
      <c r="B1217" s="5" t="str">
        <f>IF($G1217="","",INDEX('EDS Lookup'!$B$6:$B$2819,$G1217))</f>
        <v/>
      </c>
      <c r="C1217" s="17"/>
      <c r="D1217" s="6"/>
      <c r="E1217" s="7" t="str">
        <f>IF($G1217="","",INDEX('EDS Lookup'!$F$6:$F$2819,$G1217))</f>
        <v/>
      </c>
      <c r="F1217" s="8" t="str">
        <f>IF($G1217="","",INDEX('EDS Lookup'!$G$6:$G$2819,$G1217))</f>
        <v/>
      </c>
      <c r="G1217" t="str">
        <f>IF(1194&lt;=$B$4,IFERROR(MATCH(1194,'EDS Lookup'!$H$6:$H$2819,0),""),"")</f>
        <v/>
      </c>
      <c r="H1217" t="str">
        <f t="shared" si="18"/>
        <v/>
      </c>
    </row>
    <row r="1218" spans="1:8" ht="19.95" customHeight="1">
      <c r="A1218" s="5" t="str">
        <f>IF($G1218="","",INDEX('EDS Lookup'!$D$6:$D$2819,$G1218))</f>
        <v/>
      </c>
      <c r="B1218" s="5" t="str">
        <f>IF($G1218="","",INDEX('EDS Lookup'!$B$6:$B$2819,$G1218))</f>
        <v/>
      </c>
      <c r="C1218" s="17"/>
      <c r="D1218" s="6"/>
      <c r="E1218" s="7" t="str">
        <f>IF($G1218="","",INDEX('EDS Lookup'!$F$6:$F$2819,$G1218))</f>
        <v/>
      </c>
      <c r="F1218" s="8" t="str">
        <f>IF($G1218="","",INDEX('EDS Lookup'!$G$6:$G$2819,$G1218))</f>
        <v/>
      </c>
      <c r="G1218" t="str">
        <f>IF(1195&lt;=$B$4,IFERROR(MATCH(1195,'EDS Lookup'!$H$6:$H$2819,0),""),"")</f>
        <v/>
      </c>
      <c r="H1218" t="str">
        <f t="shared" si="18"/>
        <v/>
      </c>
    </row>
    <row r="1219" spans="1:8" ht="19.95" customHeight="1">
      <c r="A1219" s="5" t="str">
        <f>IF($G1219="","",INDEX('EDS Lookup'!$D$6:$D$2819,$G1219))</f>
        <v/>
      </c>
      <c r="B1219" s="5" t="str">
        <f>IF($G1219="","",INDEX('EDS Lookup'!$B$6:$B$2819,$G1219))</f>
        <v/>
      </c>
      <c r="C1219" s="17"/>
      <c r="D1219" s="6"/>
      <c r="E1219" s="7" t="str">
        <f>IF($G1219="","",INDEX('EDS Lookup'!$F$6:$F$2819,$G1219))</f>
        <v/>
      </c>
      <c r="F1219" s="8" t="str">
        <f>IF($G1219="","",INDEX('EDS Lookup'!$G$6:$G$2819,$G1219))</f>
        <v/>
      </c>
      <c r="G1219" t="str">
        <f>IF(1196&lt;=$B$4,IFERROR(MATCH(1196,'EDS Lookup'!$H$6:$H$2819,0),""),"")</f>
        <v/>
      </c>
      <c r="H1219" t="str">
        <f t="shared" si="18"/>
        <v/>
      </c>
    </row>
    <row r="1220" spans="1:8" ht="19.95" customHeight="1">
      <c r="A1220" s="5" t="str">
        <f>IF($G1220="","",INDEX('EDS Lookup'!$D$6:$D$2819,$G1220))</f>
        <v/>
      </c>
      <c r="B1220" s="5" t="str">
        <f>IF($G1220="","",INDEX('EDS Lookup'!$B$6:$B$2819,$G1220))</f>
        <v/>
      </c>
      <c r="C1220" s="17"/>
      <c r="D1220" s="6"/>
      <c r="E1220" s="7" t="str">
        <f>IF($G1220="","",INDEX('EDS Lookup'!$F$6:$F$2819,$G1220))</f>
        <v/>
      </c>
      <c r="F1220" s="8" t="str">
        <f>IF($G1220="","",INDEX('EDS Lookup'!$G$6:$G$2819,$G1220))</f>
        <v/>
      </c>
      <c r="G1220" t="str">
        <f>IF(1197&lt;=$B$4,IFERROR(MATCH(1197,'EDS Lookup'!$H$6:$H$2819,0),""),"")</f>
        <v/>
      </c>
      <c r="H1220" t="str">
        <f t="shared" si="18"/>
        <v/>
      </c>
    </row>
    <row r="1221" spans="1:8" ht="19.95" customHeight="1">
      <c r="A1221" s="5" t="str">
        <f>IF($G1221="","",INDEX('EDS Lookup'!$D$6:$D$2819,$G1221))</f>
        <v/>
      </c>
      <c r="B1221" s="5" t="str">
        <f>IF($G1221="","",INDEX('EDS Lookup'!$B$6:$B$2819,$G1221))</f>
        <v/>
      </c>
      <c r="C1221" s="17"/>
      <c r="D1221" s="6"/>
      <c r="E1221" s="7" t="str">
        <f>IF($G1221="","",INDEX('EDS Lookup'!$F$6:$F$2819,$G1221))</f>
        <v/>
      </c>
      <c r="F1221" s="8" t="str">
        <f>IF($G1221="","",INDEX('EDS Lookup'!$G$6:$G$2819,$G1221))</f>
        <v/>
      </c>
      <c r="G1221" t="str">
        <f>IF(1198&lt;=$B$4,IFERROR(MATCH(1198,'EDS Lookup'!$H$6:$H$2819,0),""),"")</f>
        <v/>
      </c>
      <c r="H1221" t="str">
        <f t="shared" si="18"/>
        <v/>
      </c>
    </row>
    <row r="1222" spans="1:8" ht="19.95" customHeight="1">
      <c r="A1222" s="5" t="str">
        <f>IF($G1222="","",INDEX('EDS Lookup'!$D$6:$D$2819,$G1222))</f>
        <v/>
      </c>
      <c r="B1222" s="5" t="str">
        <f>IF($G1222="","",INDEX('EDS Lookup'!$B$6:$B$2819,$G1222))</f>
        <v/>
      </c>
      <c r="C1222" s="17"/>
      <c r="D1222" s="6"/>
      <c r="E1222" s="7" t="str">
        <f>IF($G1222="","",INDEX('EDS Lookup'!$F$6:$F$2819,$G1222))</f>
        <v/>
      </c>
      <c r="F1222" s="8" t="str">
        <f>IF($G1222="","",INDEX('EDS Lookup'!$G$6:$G$2819,$G1222))</f>
        <v/>
      </c>
      <c r="G1222" t="str">
        <f>IF(1199&lt;=$B$4,IFERROR(MATCH(1199,'EDS Lookup'!$H$6:$H$2819,0),""),"")</f>
        <v/>
      </c>
      <c r="H1222" t="str">
        <f t="shared" si="18"/>
        <v/>
      </c>
    </row>
    <row r="1223" spans="1:8" ht="19.95" customHeight="1">
      <c r="A1223" s="5" t="str">
        <f>IF($G1223="","",INDEX('EDS Lookup'!$D$6:$D$2819,$G1223))</f>
        <v/>
      </c>
      <c r="B1223" s="5" t="str">
        <f>IF($G1223="","",INDEX('EDS Lookup'!$B$6:$B$2819,$G1223))</f>
        <v/>
      </c>
      <c r="C1223" s="17"/>
      <c r="D1223" s="6"/>
      <c r="E1223" s="7" t="str">
        <f>IF($G1223="","",INDEX('EDS Lookup'!$F$6:$F$2819,$G1223))</f>
        <v/>
      </c>
      <c r="F1223" s="8" t="str">
        <f>IF($G1223="","",INDEX('EDS Lookup'!$G$6:$G$2819,$G1223))</f>
        <v/>
      </c>
      <c r="G1223" t="str">
        <f>IF(1200&lt;=$B$4,IFERROR(MATCH(1200,'EDS Lookup'!$H$6:$H$2819,0),""),"")</f>
        <v/>
      </c>
      <c r="H1223" t="str">
        <f t="shared" si="18"/>
        <v/>
      </c>
    </row>
    <row r="1224" spans="1:8" ht="19.95" customHeight="1">
      <c r="A1224" s="5" t="str">
        <f>IF($G1224="","",INDEX('EDS Lookup'!$D$6:$D$2819,$G1224))</f>
        <v/>
      </c>
      <c r="B1224" s="5" t="str">
        <f>IF($G1224="","",INDEX('EDS Lookup'!$B$6:$B$2819,$G1224))</f>
        <v/>
      </c>
      <c r="C1224" s="17"/>
      <c r="D1224" s="6"/>
      <c r="E1224" s="7" t="str">
        <f>IF($G1224="","",INDEX('EDS Lookup'!$F$6:$F$2819,$G1224))</f>
        <v/>
      </c>
      <c r="F1224" s="8" t="str">
        <f>IF($G1224="","",INDEX('EDS Lookup'!$G$6:$G$2819,$G1224))</f>
        <v/>
      </c>
      <c r="G1224" t="str">
        <f>IF(1201&lt;=$B$4,IFERROR(MATCH(1201,'EDS Lookup'!$H$6:$H$2819,0),""),"")</f>
        <v/>
      </c>
      <c r="H1224" t="str">
        <f t="shared" si="18"/>
        <v/>
      </c>
    </row>
    <row r="1225" spans="1:8" ht="19.95" customHeight="1">
      <c r="A1225" s="5" t="str">
        <f>IF($G1225="","",INDEX('EDS Lookup'!$D$6:$D$2819,$G1225))</f>
        <v/>
      </c>
      <c r="B1225" s="5" t="str">
        <f>IF($G1225="","",INDEX('EDS Lookup'!$B$6:$B$2819,$G1225))</f>
        <v/>
      </c>
      <c r="C1225" s="17"/>
      <c r="D1225" s="6"/>
      <c r="E1225" s="7" t="str">
        <f>IF($G1225="","",INDEX('EDS Lookup'!$F$6:$F$2819,$G1225))</f>
        <v/>
      </c>
      <c r="F1225" s="8" t="str">
        <f>IF($G1225="","",INDEX('EDS Lookup'!$G$6:$G$2819,$G1225))</f>
        <v/>
      </c>
      <c r="G1225" t="str">
        <f>IF(1202&lt;=$B$4,IFERROR(MATCH(1202,'EDS Lookup'!$H$6:$H$2819,0),""),"")</f>
        <v/>
      </c>
      <c r="H1225" t="str">
        <f t="shared" si="18"/>
        <v/>
      </c>
    </row>
    <row r="1226" spans="1:8" ht="19.95" customHeight="1">
      <c r="A1226" s="5" t="str">
        <f>IF($G1226="","",INDEX('EDS Lookup'!$D$6:$D$2819,$G1226))</f>
        <v/>
      </c>
      <c r="B1226" s="5" t="str">
        <f>IF($G1226="","",INDEX('EDS Lookup'!$B$6:$B$2819,$G1226))</f>
        <v/>
      </c>
      <c r="C1226" s="17"/>
      <c r="D1226" s="6"/>
      <c r="E1226" s="7" t="str">
        <f>IF($G1226="","",INDEX('EDS Lookup'!$F$6:$F$2819,$G1226))</f>
        <v/>
      </c>
      <c r="F1226" s="8" t="str">
        <f>IF($G1226="","",INDEX('EDS Lookup'!$G$6:$G$2819,$G1226))</f>
        <v/>
      </c>
      <c r="G1226" t="str">
        <f>IF(1203&lt;=$B$4,IFERROR(MATCH(1203,'EDS Lookup'!$H$6:$H$2819,0),""),"")</f>
        <v/>
      </c>
      <c r="H1226" t="str">
        <f t="shared" si="18"/>
        <v/>
      </c>
    </row>
    <row r="1227" spans="1:8" ht="19.95" customHeight="1">
      <c r="A1227" s="5" t="str">
        <f>IF($G1227="","",INDEX('EDS Lookup'!$D$6:$D$2819,$G1227))</f>
        <v/>
      </c>
      <c r="B1227" s="5" t="str">
        <f>IF($G1227="","",INDEX('EDS Lookup'!$B$6:$B$2819,$G1227))</f>
        <v/>
      </c>
      <c r="C1227" s="17"/>
      <c r="D1227" s="6"/>
      <c r="E1227" s="7" t="str">
        <f>IF($G1227="","",INDEX('EDS Lookup'!$F$6:$F$2819,$G1227))</f>
        <v/>
      </c>
      <c r="F1227" s="8" t="str">
        <f>IF($G1227="","",INDEX('EDS Lookup'!$G$6:$G$2819,$G1227))</f>
        <v/>
      </c>
      <c r="G1227" t="str">
        <f>IF(1204&lt;=$B$4,IFERROR(MATCH(1204,'EDS Lookup'!$H$6:$H$2819,0),""),"")</f>
        <v/>
      </c>
      <c r="H1227" t="str">
        <f t="shared" si="18"/>
        <v/>
      </c>
    </row>
    <row r="1228" spans="1:8" ht="19.95" customHeight="1">
      <c r="A1228" s="5" t="str">
        <f>IF($G1228="","",INDEX('EDS Lookup'!$D$6:$D$2819,$G1228))</f>
        <v/>
      </c>
      <c r="B1228" s="5" t="str">
        <f>IF($G1228="","",INDEX('EDS Lookup'!$B$6:$B$2819,$G1228))</f>
        <v/>
      </c>
      <c r="C1228" s="17"/>
      <c r="D1228" s="6"/>
      <c r="E1228" s="7" t="str">
        <f>IF($G1228="","",INDEX('EDS Lookup'!$F$6:$F$2819,$G1228))</f>
        <v/>
      </c>
      <c r="F1228" s="8" t="str">
        <f>IF($G1228="","",INDEX('EDS Lookup'!$G$6:$G$2819,$G1228))</f>
        <v/>
      </c>
      <c r="G1228" t="str">
        <f>IF(1205&lt;=$B$4,IFERROR(MATCH(1205,'EDS Lookup'!$H$6:$H$2819,0),""),"")</f>
        <v/>
      </c>
      <c r="H1228" t="str">
        <f t="shared" si="18"/>
        <v/>
      </c>
    </row>
    <row r="1229" spans="1:8" ht="19.95" customHeight="1">
      <c r="A1229" s="5" t="str">
        <f>IF($G1229="","",INDEX('EDS Lookup'!$D$6:$D$2819,$G1229))</f>
        <v/>
      </c>
      <c r="B1229" s="5" t="str">
        <f>IF($G1229="","",INDEX('EDS Lookup'!$B$6:$B$2819,$G1229))</f>
        <v/>
      </c>
      <c r="C1229" s="17"/>
      <c r="D1229" s="6"/>
      <c r="E1229" s="7" t="str">
        <f>IF($G1229="","",INDEX('EDS Lookup'!$F$6:$F$2819,$G1229))</f>
        <v/>
      </c>
      <c r="F1229" s="8" t="str">
        <f>IF($G1229="","",INDEX('EDS Lookup'!$G$6:$G$2819,$G1229))</f>
        <v/>
      </c>
      <c r="G1229" t="str">
        <f>IF(1206&lt;=$B$4,IFERROR(MATCH(1206,'EDS Lookup'!$H$6:$H$2819,0),""),"")</f>
        <v/>
      </c>
      <c r="H1229" t="str">
        <f t="shared" si="18"/>
        <v/>
      </c>
    </row>
    <row r="1230" spans="1:8" ht="19.95" customHeight="1">
      <c r="A1230" s="5" t="str">
        <f>IF($G1230="","",INDEX('EDS Lookup'!$D$6:$D$2819,$G1230))</f>
        <v/>
      </c>
      <c r="B1230" s="5" t="str">
        <f>IF($G1230="","",INDEX('EDS Lookup'!$B$6:$B$2819,$G1230))</f>
        <v/>
      </c>
      <c r="C1230" s="17"/>
      <c r="D1230" s="6"/>
      <c r="E1230" s="7" t="str">
        <f>IF($G1230="","",INDEX('EDS Lookup'!$F$6:$F$2819,$G1230))</f>
        <v/>
      </c>
      <c r="F1230" s="8" t="str">
        <f>IF($G1230="","",INDEX('EDS Lookup'!$G$6:$G$2819,$G1230))</f>
        <v/>
      </c>
      <c r="G1230" t="str">
        <f>IF(1207&lt;=$B$4,IFERROR(MATCH(1207,'EDS Lookup'!$H$6:$H$2819,0),""),"")</f>
        <v/>
      </c>
      <c r="H1230" t="str">
        <f t="shared" si="18"/>
        <v/>
      </c>
    </row>
    <row r="1231" spans="1:8" ht="19.95" customHeight="1">
      <c r="A1231" s="5" t="str">
        <f>IF($G1231="","",INDEX('EDS Lookup'!$D$6:$D$2819,$G1231))</f>
        <v/>
      </c>
      <c r="B1231" s="5" t="str">
        <f>IF($G1231="","",INDEX('EDS Lookup'!$B$6:$B$2819,$G1231))</f>
        <v/>
      </c>
      <c r="C1231" s="17"/>
      <c r="D1231" s="6"/>
      <c r="E1231" s="7" t="str">
        <f>IF($G1231="","",INDEX('EDS Lookup'!$F$6:$F$2819,$G1231))</f>
        <v/>
      </c>
      <c r="F1231" s="8" t="str">
        <f>IF($G1231="","",INDEX('EDS Lookup'!$G$6:$G$2819,$G1231))</f>
        <v/>
      </c>
      <c r="G1231" t="str">
        <f>IF(1208&lt;=$B$4,IFERROR(MATCH(1208,'EDS Lookup'!$H$6:$H$2819,0),""),"")</f>
        <v/>
      </c>
      <c r="H1231" t="str">
        <f t="shared" si="18"/>
        <v/>
      </c>
    </row>
    <row r="1232" spans="1:8" ht="19.95" customHeight="1">
      <c r="A1232" s="5" t="str">
        <f>IF($G1232="","",INDEX('EDS Lookup'!$D$6:$D$2819,$G1232))</f>
        <v/>
      </c>
      <c r="B1232" s="5" t="str">
        <f>IF($G1232="","",INDEX('EDS Lookup'!$B$6:$B$2819,$G1232))</f>
        <v/>
      </c>
      <c r="C1232" s="17"/>
      <c r="D1232" s="6"/>
      <c r="E1232" s="7" t="str">
        <f>IF($G1232="","",INDEX('EDS Lookup'!$F$6:$F$2819,$G1232))</f>
        <v/>
      </c>
      <c r="F1232" s="8" t="str">
        <f>IF($G1232="","",INDEX('EDS Lookup'!$G$6:$G$2819,$G1232))</f>
        <v/>
      </c>
      <c r="G1232" t="str">
        <f>IF(1209&lt;=$B$4,IFERROR(MATCH(1209,'EDS Lookup'!$H$6:$H$2819,0),""),"")</f>
        <v/>
      </c>
      <c r="H1232" t="str">
        <f t="shared" si="18"/>
        <v/>
      </c>
    </row>
    <row r="1233" spans="1:8" ht="19.95" customHeight="1">
      <c r="A1233" s="5" t="str">
        <f>IF($G1233="","",INDEX('EDS Lookup'!$D$6:$D$2819,$G1233))</f>
        <v/>
      </c>
      <c r="B1233" s="5" t="str">
        <f>IF($G1233="","",INDEX('EDS Lookup'!$B$6:$B$2819,$G1233))</f>
        <v/>
      </c>
      <c r="C1233" s="17"/>
      <c r="D1233" s="6"/>
      <c r="E1233" s="7" t="str">
        <f>IF($G1233="","",INDEX('EDS Lookup'!$F$6:$F$2819,$G1233))</f>
        <v/>
      </c>
      <c r="F1233" s="8" t="str">
        <f>IF($G1233="","",INDEX('EDS Lookup'!$G$6:$G$2819,$G1233))</f>
        <v/>
      </c>
      <c r="G1233" t="str">
        <f>IF(1210&lt;=$B$4,IFERROR(MATCH(1210,'EDS Lookup'!$H$6:$H$2819,0),""),"")</f>
        <v/>
      </c>
      <c r="H1233" t="str">
        <f t="shared" si="18"/>
        <v/>
      </c>
    </row>
    <row r="1234" spans="1:8" ht="19.95" customHeight="1">
      <c r="A1234" s="5" t="str">
        <f>IF($G1234="","",INDEX('EDS Lookup'!$D$6:$D$2819,$G1234))</f>
        <v/>
      </c>
      <c r="B1234" s="5" t="str">
        <f>IF($G1234="","",INDEX('EDS Lookup'!$B$6:$B$2819,$G1234))</f>
        <v/>
      </c>
      <c r="C1234" s="17"/>
      <c r="D1234" s="6"/>
      <c r="E1234" s="7" t="str">
        <f>IF($G1234="","",INDEX('EDS Lookup'!$F$6:$F$2819,$G1234))</f>
        <v/>
      </c>
      <c r="F1234" s="8" t="str">
        <f>IF($G1234="","",INDEX('EDS Lookup'!$G$6:$G$2819,$G1234))</f>
        <v/>
      </c>
      <c r="G1234" t="str">
        <f>IF(1211&lt;=$B$4,IFERROR(MATCH(1211,'EDS Lookup'!$H$6:$H$2819,0),""),"")</f>
        <v/>
      </c>
      <c r="H1234" t="str">
        <f t="shared" si="18"/>
        <v/>
      </c>
    </row>
    <row r="1235" spans="1:8" ht="19.95" customHeight="1">
      <c r="A1235" s="5" t="str">
        <f>IF($G1235="","",INDEX('EDS Lookup'!$D$6:$D$2819,$G1235))</f>
        <v/>
      </c>
      <c r="B1235" s="5" t="str">
        <f>IF($G1235="","",INDEX('EDS Lookup'!$B$6:$B$2819,$G1235))</f>
        <v/>
      </c>
      <c r="C1235" s="17"/>
      <c r="D1235" s="6"/>
      <c r="E1235" s="7" t="str">
        <f>IF($G1235="","",INDEX('EDS Lookup'!$F$6:$F$2819,$G1235))</f>
        <v/>
      </c>
      <c r="F1235" s="8" t="str">
        <f>IF($G1235="","",INDEX('EDS Lookup'!$G$6:$G$2819,$G1235))</f>
        <v/>
      </c>
      <c r="G1235" t="str">
        <f>IF(1212&lt;=$B$4,IFERROR(MATCH(1212,'EDS Lookup'!$H$6:$H$2819,0),""),"")</f>
        <v/>
      </c>
      <c r="H1235" t="str">
        <f t="shared" si="18"/>
        <v/>
      </c>
    </row>
    <row r="1236" spans="1:8" ht="19.95" customHeight="1">
      <c r="A1236" s="5" t="str">
        <f>IF($G1236="","",INDEX('EDS Lookup'!$D$6:$D$2819,$G1236))</f>
        <v/>
      </c>
      <c r="B1236" s="5" t="str">
        <f>IF($G1236="","",INDEX('EDS Lookup'!$B$6:$B$2819,$G1236))</f>
        <v/>
      </c>
      <c r="C1236" s="17"/>
      <c r="D1236" s="6"/>
      <c r="E1236" s="7" t="str">
        <f>IF($G1236="","",INDEX('EDS Lookup'!$F$6:$F$2819,$G1236))</f>
        <v/>
      </c>
      <c r="F1236" s="8" t="str">
        <f>IF($G1236="","",INDEX('EDS Lookup'!$G$6:$G$2819,$G1236))</f>
        <v/>
      </c>
      <c r="G1236" t="str">
        <f>IF(1213&lt;=$B$4,IFERROR(MATCH(1213,'EDS Lookup'!$H$6:$H$2819,0),""),"")</f>
        <v/>
      </c>
      <c r="H1236" t="str">
        <f t="shared" si="18"/>
        <v/>
      </c>
    </row>
    <row r="1237" spans="1:8" ht="19.95" customHeight="1">
      <c r="A1237" s="5" t="str">
        <f>IF($G1237="","",INDEX('EDS Lookup'!$D$6:$D$2819,$G1237))</f>
        <v/>
      </c>
      <c r="B1237" s="5" t="str">
        <f>IF($G1237="","",INDEX('EDS Lookup'!$B$6:$B$2819,$G1237))</f>
        <v/>
      </c>
      <c r="C1237" s="17"/>
      <c r="D1237" s="6"/>
      <c r="E1237" s="7" t="str">
        <f>IF($G1237="","",INDEX('EDS Lookup'!$F$6:$F$2819,$G1237))</f>
        <v/>
      </c>
      <c r="F1237" s="8" t="str">
        <f>IF($G1237="","",INDEX('EDS Lookup'!$G$6:$G$2819,$G1237))</f>
        <v/>
      </c>
      <c r="G1237" t="str">
        <f>IF(1214&lt;=$B$4,IFERROR(MATCH(1214,'EDS Lookup'!$H$6:$H$2819,0),""),"")</f>
        <v/>
      </c>
      <c r="H1237" t="str">
        <f t="shared" si="18"/>
        <v/>
      </c>
    </row>
    <row r="1238" spans="1:8" ht="19.95" customHeight="1">
      <c r="A1238" s="5" t="str">
        <f>IF($G1238="","",INDEX('EDS Lookup'!$D$6:$D$2819,$G1238))</f>
        <v/>
      </c>
      <c r="B1238" s="5" t="str">
        <f>IF($G1238="","",INDEX('EDS Lookup'!$B$6:$B$2819,$G1238))</f>
        <v/>
      </c>
      <c r="C1238" s="17"/>
      <c r="D1238" s="6"/>
      <c r="E1238" s="7" t="str">
        <f>IF($G1238="","",INDEX('EDS Lookup'!$F$6:$F$2819,$G1238))</f>
        <v/>
      </c>
      <c r="F1238" s="8" t="str">
        <f>IF($G1238="","",INDEX('EDS Lookup'!$G$6:$G$2819,$G1238))</f>
        <v/>
      </c>
      <c r="G1238" t="str">
        <f>IF(1215&lt;=$B$4,IFERROR(MATCH(1215,'EDS Lookup'!$H$6:$H$2819,0),""),"")</f>
        <v/>
      </c>
      <c r="H1238" t="str">
        <f t="shared" si="18"/>
        <v/>
      </c>
    </row>
    <row r="1239" spans="1:8" ht="19.95" customHeight="1">
      <c r="A1239" s="5" t="str">
        <f>IF($G1239="","",INDEX('EDS Lookup'!$D$6:$D$2819,$G1239))</f>
        <v/>
      </c>
      <c r="B1239" s="5" t="str">
        <f>IF($G1239="","",INDEX('EDS Lookup'!$B$6:$B$2819,$G1239))</f>
        <v/>
      </c>
      <c r="C1239" s="17"/>
      <c r="D1239" s="6"/>
      <c r="E1239" s="7" t="str">
        <f>IF($G1239="","",INDEX('EDS Lookup'!$F$6:$F$2819,$G1239))</f>
        <v/>
      </c>
      <c r="F1239" s="8" t="str">
        <f>IF($G1239="","",INDEX('EDS Lookup'!$G$6:$G$2819,$G1239))</f>
        <v/>
      </c>
      <c r="G1239" t="str">
        <f>IF(1216&lt;=$B$4,IFERROR(MATCH(1216,'EDS Lookup'!$H$6:$H$2819,0),""),"")</f>
        <v/>
      </c>
      <c r="H1239" t="str">
        <f t="shared" si="18"/>
        <v/>
      </c>
    </row>
    <row r="1240" spans="1:8" ht="19.95" customHeight="1">
      <c r="A1240" s="5" t="str">
        <f>IF($G1240="","",INDEX('EDS Lookup'!$D$6:$D$2819,$G1240))</f>
        <v/>
      </c>
      <c r="B1240" s="5" t="str">
        <f>IF($G1240="","",INDEX('EDS Lookup'!$B$6:$B$2819,$G1240))</f>
        <v/>
      </c>
      <c r="C1240" s="17"/>
      <c r="D1240" s="6"/>
      <c r="E1240" s="7" t="str">
        <f>IF($G1240="","",INDEX('EDS Lookup'!$F$6:$F$2819,$G1240))</f>
        <v/>
      </c>
      <c r="F1240" s="8" t="str">
        <f>IF($G1240="","",INDEX('EDS Lookup'!$G$6:$G$2819,$G1240))</f>
        <v/>
      </c>
      <c r="G1240" t="str">
        <f>IF(1217&lt;=$B$4,IFERROR(MATCH(1217,'EDS Lookup'!$H$6:$H$2819,0),""),"")</f>
        <v/>
      </c>
      <c r="H1240" t="str">
        <f t="shared" ref="H1240:H1303" si="19">IF(F1240="&lt;5",5,IF(F1240="&gt;95",95,IF(ISNUMBER(F1240),F1240,"")))</f>
        <v/>
      </c>
    </row>
    <row r="1241" spans="1:8" ht="19.95" customHeight="1">
      <c r="A1241" s="5" t="str">
        <f>IF($G1241="","",INDEX('EDS Lookup'!$D$6:$D$2819,$G1241))</f>
        <v/>
      </c>
      <c r="B1241" s="5" t="str">
        <f>IF($G1241="","",INDEX('EDS Lookup'!$B$6:$B$2819,$G1241))</f>
        <v/>
      </c>
      <c r="C1241" s="17"/>
      <c r="D1241" s="6"/>
      <c r="E1241" s="7" t="str">
        <f>IF($G1241="","",INDEX('EDS Lookup'!$F$6:$F$2819,$G1241))</f>
        <v/>
      </c>
      <c r="F1241" s="8" t="str">
        <f>IF($G1241="","",INDEX('EDS Lookup'!$G$6:$G$2819,$G1241))</f>
        <v/>
      </c>
      <c r="G1241" t="str">
        <f>IF(1218&lt;=$B$4,IFERROR(MATCH(1218,'EDS Lookup'!$H$6:$H$2819,0),""),"")</f>
        <v/>
      </c>
      <c r="H1241" t="str">
        <f t="shared" si="19"/>
        <v/>
      </c>
    </row>
    <row r="1242" spans="1:8" ht="19.95" customHeight="1">
      <c r="A1242" s="5" t="str">
        <f>IF($G1242="","",INDEX('EDS Lookup'!$D$6:$D$2819,$G1242))</f>
        <v/>
      </c>
      <c r="B1242" s="5" t="str">
        <f>IF($G1242="","",INDEX('EDS Lookup'!$B$6:$B$2819,$G1242))</f>
        <v/>
      </c>
      <c r="C1242" s="17"/>
      <c r="D1242" s="6"/>
      <c r="E1242" s="7" t="str">
        <f>IF($G1242="","",INDEX('EDS Lookup'!$F$6:$F$2819,$G1242))</f>
        <v/>
      </c>
      <c r="F1242" s="8" t="str">
        <f>IF($G1242="","",INDEX('EDS Lookup'!$G$6:$G$2819,$G1242))</f>
        <v/>
      </c>
      <c r="G1242" t="str">
        <f>IF(1219&lt;=$B$4,IFERROR(MATCH(1219,'EDS Lookup'!$H$6:$H$2819,0),""),"")</f>
        <v/>
      </c>
      <c r="H1242" t="str">
        <f t="shared" si="19"/>
        <v/>
      </c>
    </row>
    <row r="1243" spans="1:8" ht="19.95" customHeight="1">
      <c r="A1243" s="5" t="str">
        <f>IF($G1243="","",INDEX('EDS Lookup'!$D$6:$D$2819,$G1243))</f>
        <v/>
      </c>
      <c r="B1243" s="5" t="str">
        <f>IF($G1243="","",INDEX('EDS Lookup'!$B$6:$B$2819,$G1243))</f>
        <v/>
      </c>
      <c r="C1243" s="17"/>
      <c r="D1243" s="6"/>
      <c r="E1243" s="7" t="str">
        <f>IF($G1243="","",INDEX('EDS Lookup'!$F$6:$F$2819,$G1243))</f>
        <v/>
      </c>
      <c r="F1243" s="8" t="str">
        <f>IF($G1243="","",INDEX('EDS Lookup'!$G$6:$G$2819,$G1243))</f>
        <v/>
      </c>
      <c r="G1243" t="str">
        <f>IF(1220&lt;=$B$4,IFERROR(MATCH(1220,'EDS Lookup'!$H$6:$H$2819,0),""),"")</f>
        <v/>
      </c>
      <c r="H1243" t="str">
        <f t="shared" si="19"/>
        <v/>
      </c>
    </row>
    <row r="1244" spans="1:8" ht="19.95" customHeight="1">
      <c r="A1244" s="5" t="str">
        <f>IF($G1244="","",INDEX('EDS Lookup'!$D$6:$D$2819,$G1244))</f>
        <v/>
      </c>
      <c r="B1244" s="5" t="str">
        <f>IF($G1244="","",INDEX('EDS Lookup'!$B$6:$B$2819,$G1244))</f>
        <v/>
      </c>
      <c r="C1244" s="17"/>
      <c r="D1244" s="6"/>
      <c r="E1244" s="7" t="str">
        <f>IF($G1244="","",INDEX('EDS Lookup'!$F$6:$F$2819,$G1244))</f>
        <v/>
      </c>
      <c r="F1244" s="8" t="str">
        <f>IF($G1244="","",INDEX('EDS Lookup'!$G$6:$G$2819,$G1244))</f>
        <v/>
      </c>
      <c r="G1244" t="str">
        <f>IF(1221&lt;=$B$4,IFERROR(MATCH(1221,'EDS Lookup'!$H$6:$H$2819,0),""),"")</f>
        <v/>
      </c>
      <c r="H1244" t="str">
        <f t="shared" si="19"/>
        <v/>
      </c>
    </row>
    <row r="1245" spans="1:8" ht="19.95" customHeight="1">
      <c r="A1245" s="5" t="str">
        <f>IF($G1245="","",INDEX('EDS Lookup'!$D$6:$D$2819,$G1245))</f>
        <v/>
      </c>
      <c r="B1245" s="5" t="str">
        <f>IF($G1245="","",INDEX('EDS Lookup'!$B$6:$B$2819,$G1245))</f>
        <v/>
      </c>
      <c r="C1245" s="17"/>
      <c r="D1245" s="6"/>
      <c r="E1245" s="7" t="str">
        <f>IF($G1245="","",INDEX('EDS Lookup'!$F$6:$F$2819,$G1245))</f>
        <v/>
      </c>
      <c r="F1245" s="8" t="str">
        <f>IF($G1245="","",INDEX('EDS Lookup'!$G$6:$G$2819,$G1245))</f>
        <v/>
      </c>
      <c r="G1245" t="str">
        <f>IF(1222&lt;=$B$4,IFERROR(MATCH(1222,'EDS Lookup'!$H$6:$H$2819,0),""),"")</f>
        <v/>
      </c>
      <c r="H1245" t="str">
        <f t="shared" si="19"/>
        <v/>
      </c>
    </row>
    <row r="1246" spans="1:8" ht="19.95" customHeight="1">
      <c r="A1246" s="5" t="str">
        <f>IF($G1246="","",INDEX('EDS Lookup'!$D$6:$D$2819,$G1246))</f>
        <v/>
      </c>
      <c r="B1246" s="5" t="str">
        <f>IF($G1246="","",INDEX('EDS Lookup'!$B$6:$B$2819,$G1246))</f>
        <v/>
      </c>
      <c r="C1246" s="17"/>
      <c r="D1246" s="6"/>
      <c r="E1246" s="7" t="str">
        <f>IF($G1246="","",INDEX('EDS Lookup'!$F$6:$F$2819,$G1246))</f>
        <v/>
      </c>
      <c r="F1246" s="8" t="str">
        <f>IF($G1246="","",INDEX('EDS Lookup'!$G$6:$G$2819,$G1246))</f>
        <v/>
      </c>
      <c r="G1246" t="str">
        <f>IF(1223&lt;=$B$4,IFERROR(MATCH(1223,'EDS Lookup'!$H$6:$H$2819,0),""),"")</f>
        <v/>
      </c>
      <c r="H1246" t="str">
        <f t="shared" si="19"/>
        <v/>
      </c>
    </row>
    <row r="1247" spans="1:8" ht="19.95" customHeight="1">
      <c r="A1247" s="5" t="str">
        <f>IF($G1247="","",INDEX('EDS Lookup'!$D$6:$D$2819,$G1247))</f>
        <v/>
      </c>
      <c r="B1247" s="5" t="str">
        <f>IF($G1247="","",INDEX('EDS Lookup'!$B$6:$B$2819,$G1247))</f>
        <v/>
      </c>
      <c r="C1247" s="17"/>
      <c r="D1247" s="6"/>
      <c r="E1247" s="7" t="str">
        <f>IF($G1247="","",INDEX('EDS Lookup'!$F$6:$F$2819,$G1247))</f>
        <v/>
      </c>
      <c r="F1247" s="8" t="str">
        <f>IF($G1247="","",INDEX('EDS Lookup'!$G$6:$G$2819,$G1247))</f>
        <v/>
      </c>
      <c r="G1247" t="str">
        <f>IF(1224&lt;=$B$4,IFERROR(MATCH(1224,'EDS Lookup'!$H$6:$H$2819,0),""),"")</f>
        <v/>
      </c>
      <c r="H1247" t="str">
        <f t="shared" si="19"/>
        <v/>
      </c>
    </row>
    <row r="1248" spans="1:8" ht="19.95" customHeight="1">
      <c r="A1248" s="5" t="str">
        <f>IF($G1248="","",INDEX('EDS Lookup'!$D$6:$D$2819,$G1248))</f>
        <v/>
      </c>
      <c r="B1248" s="5" t="str">
        <f>IF($G1248="","",INDEX('EDS Lookup'!$B$6:$B$2819,$G1248))</f>
        <v/>
      </c>
      <c r="C1248" s="17"/>
      <c r="D1248" s="6"/>
      <c r="E1248" s="7" t="str">
        <f>IF($G1248="","",INDEX('EDS Lookup'!$F$6:$F$2819,$G1248))</f>
        <v/>
      </c>
      <c r="F1248" s="8" t="str">
        <f>IF($G1248="","",INDEX('EDS Lookup'!$G$6:$G$2819,$G1248))</f>
        <v/>
      </c>
      <c r="G1248" t="str">
        <f>IF(1225&lt;=$B$4,IFERROR(MATCH(1225,'EDS Lookup'!$H$6:$H$2819,0),""),"")</f>
        <v/>
      </c>
      <c r="H1248" t="str">
        <f t="shared" si="19"/>
        <v/>
      </c>
    </row>
    <row r="1249" spans="1:8" ht="19.95" customHeight="1">
      <c r="A1249" s="5" t="str">
        <f>IF($G1249="","",INDEX('EDS Lookup'!$D$6:$D$2819,$G1249))</f>
        <v/>
      </c>
      <c r="B1249" s="5" t="str">
        <f>IF($G1249="","",INDEX('EDS Lookup'!$B$6:$B$2819,$G1249))</f>
        <v/>
      </c>
      <c r="C1249" s="17"/>
      <c r="D1249" s="6"/>
      <c r="E1249" s="7" t="str">
        <f>IF($G1249="","",INDEX('EDS Lookup'!$F$6:$F$2819,$G1249))</f>
        <v/>
      </c>
      <c r="F1249" s="8" t="str">
        <f>IF($G1249="","",INDEX('EDS Lookup'!$G$6:$G$2819,$G1249))</f>
        <v/>
      </c>
      <c r="G1249" t="str">
        <f>IF(1226&lt;=$B$4,IFERROR(MATCH(1226,'EDS Lookup'!$H$6:$H$2819,0),""),"")</f>
        <v/>
      </c>
      <c r="H1249" t="str">
        <f t="shared" si="19"/>
        <v/>
      </c>
    </row>
    <row r="1250" spans="1:8" ht="19.95" customHeight="1">
      <c r="A1250" s="5" t="str">
        <f>IF($G1250="","",INDEX('EDS Lookup'!$D$6:$D$2819,$G1250))</f>
        <v/>
      </c>
      <c r="B1250" s="5" t="str">
        <f>IF($G1250="","",INDEX('EDS Lookup'!$B$6:$B$2819,$G1250))</f>
        <v/>
      </c>
      <c r="C1250" s="17"/>
      <c r="D1250" s="6"/>
      <c r="E1250" s="7" t="str">
        <f>IF($G1250="","",INDEX('EDS Lookup'!$F$6:$F$2819,$G1250))</f>
        <v/>
      </c>
      <c r="F1250" s="8" t="str">
        <f>IF($G1250="","",INDEX('EDS Lookup'!$G$6:$G$2819,$G1250))</f>
        <v/>
      </c>
      <c r="G1250" t="str">
        <f>IF(1227&lt;=$B$4,IFERROR(MATCH(1227,'EDS Lookup'!$H$6:$H$2819,0),""),"")</f>
        <v/>
      </c>
      <c r="H1250" t="str">
        <f t="shared" si="19"/>
        <v/>
      </c>
    </row>
    <row r="1251" spans="1:8" ht="19.95" customHeight="1">
      <c r="A1251" s="5" t="str">
        <f>IF($G1251="","",INDEX('EDS Lookup'!$D$6:$D$2819,$G1251))</f>
        <v/>
      </c>
      <c r="B1251" s="5" t="str">
        <f>IF($G1251="","",INDEX('EDS Lookup'!$B$6:$B$2819,$G1251))</f>
        <v/>
      </c>
      <c r="C1251" s="17"/>
      <c r="D1251" s="6"/>
      <c r="E1251" s="7" t="str">
        <f>IF($G1251="","",INDEX('EDS Lookup'!$F$6:$F$2819,$G1251))</f>
        <v/>
      </c>
      <c r="F1251" s="8" t="str">
        <f>IF($G1251="","",INDEX('EDS Lookup'!$G$6:$G$2819,$G1251))</f>
        <v/>
      </c>
      <c r="G1251" t="str">
        <f>IF(1228&lt;=$B$4,IFERROR(MATCH(1228,'EDS Lookup'!$H$6:$H$2819,0),""),"")</f>
        <v/>
      </c>
      <c r="H1251" t="str">
        <f t="shared" si="19"/>
        <v/>
      </c>
    </row>
    <row r="1252" spans="1:8" ht="19.95" customHeight="1">
      <c r="A1252" s="5" t="str">
        <f>IF($G1252="","",INDEX('EDS Lookup'!$D$6:$D$2819,$G1252))</f>
        <v/>
      </c>
      <c r="B1252" s="5" t="str">
        <f>IF($G1252="","",INDEX('EDS Lookup'!$B$6:$B$2819,$G1252))</f>
        <v/>
      </c>
      <c r="C1252" s="17"/>
      <c r="D1252" s="6"/>
      <c r="E1252" s="7" t="str">
        <f>IF($G1252="","",INDEX('EDS Lookup'!$F$6:$F$2819,$G1252))</f>
        <v/>
      </c>
      <c r="F1252" s="8" t="str">
        <f>IF($G1252="","",INDEX('EDS Lookup'!$G$6:$G$2819,$G1252))</f>
        <v/>
      </c>
      <c r="G1252" t="str">
        <f>IF(1229&lt;=$B$4,IFERROR(MATCH(1229,'EDS Lookup'!$H$6:$H$2819,0),""),"")</f>
        <v/>
      </c>
      <c r="H1252" t="str">
        <f t="shared" si="19"/>
        <v/>
      </c>
    </row>
    <row r="1253" spans="1:8" ht="19.95" customHeight="1">
      <c r="A1253" s="5" t="str">
        <f>IF($G1253="","",INDEX('EDS Lookup'!$D$6:$D$2819,$G1253))</f>
        <v/>
      </c>
      <c r="B1253" s="5" t="str">
        <f>IF($G1253="","",INDEX('EDS Lookup'!$B$6:$B$2819,$G1253))</f>
        <v/>
      </c>
      <c r="C1253" s="17"/>
      <c r="D1253" s="6"/>
      <c r="E1253" s="7" t="str">
        <f>IF($G1253="","",INDEX('EDS Lookup'!$F$6:$F$2819,$G1253))</f>
        <v/>
      </c>
      <c r="F1253" s="8" t="str">
        <f>IF($G1253="","",INDEX('EDS Lookup'!$G$6:$G$2819,$G1253))</f>
        <v/>
      </c>
      <c r="G1253" t="str">
        <f>IF(1230&lt;=$B$4,IFERROR(MATCH(1230,'EDS Lookup'!$H$6:$H$2819,0),""),"")</f>
        <v/>
      </c>
      <c r="H1253" t="str">
        <f t="shared" si="19"/>
        <v/>
      </c>
    </row>
    <row r="1254" spans="1:8" ht="19.95" customHeight="1">
      <c r="A1254" s="5" t="str">
        <f>IF($G1254="","",INDEX('EDS Lookup'!$D$6:$D$2819,$G1254))</f>
        <v/>
      </c>
      <c r="B1254" s="5" t="str">
        <f>IF($G1254="","",INDEX('EDS Lookup'!$B$6:$B$2819,$G1254))</f>
        <v/>
      </c>
      <c r="C1254" s="17"/>
      <c r="D1254" s="6"/>
      <c r="E1254" s="7" t="str">
        <f>IF($G1254="","",INDEX('EDS Lookup'!$F$6:$F$2819,$G1254))</f>
        <v/>
      </c>
      <c r="F1254" s="8" t="str">
        <f>IF($G1254="","",INDEX('EDS Lookup'!$G$6:$G$2819,$G1254))</f>
        <v/>
      </c>
      <c r="G1254" t="str">
        <f>IF(1231&lt;=$B$4,IFERROR(MATCH(1231,'EDS Lookup'!$H$6:$H$2819,0),""),"")</f>
        <v/>
      </c>
      <c r="H1254" t="str">
        <f t="shared" si="19"/>
        <v/>
      </c>
    </row>
    <row r="1255" spans="1:8" ht="19.95" customHeight="1">
      <c r="A1255" s="5" t="str">
        <f>IF($G1255="","",INDEX('EDS Lookup'!$D$6:$D$2819,$G1255))</f>
        <v/>
      </c>
      <c r="B1255" s="5" t="str">
        <f>IF($G1255="","",INDEX('EDS Lookup'!$B$6:$B$2819,$G1255))</f>
        <v/>
      </c>
      <c r="C1255" s="17"/>
      <c r="D1255" s="6"/>
      <c r="E1255" s="7" t="str">
        <f>IF($G1255="","",INDEX('EDS Lookup'!$F$6:$F$2819,$G1255))</f>
        <v/>
      </c>
      <c r="F1255" s="8" t="str">
        <f>IF($G1255="","",INDEX('EDS Lookup'!$G$6:$G$2819,$G1255))</f>
        <v/>
      </c>
      <c r="G1255" t="str">
        <f>IF(1232&lt;=$B$4,IFERROR(MATCH(1232,'EDS Lookup'!$H$6:$H$2819,0),""),"")</f>
        <v/>
      </c>
      <c r="H1255" t="str">
        <f t="shared" si="19"/>
        <v/>
      </c>
    </row>
    <row r="1256" spans="1:8" ht="19.95" customHeight="1">
      <c r="A1256" s="5" t="str">
        <f>IF($G1256="","",INDEX('EDS Lookup'!$D$6:$D$2819,$G1256))</f>
        <v/>
      </c>
      <c r="B1256" s="5" t="str">
        <f>IF($G1256="","",INDEX('EDS Lookup'!$B$6:$B$2819,$G1256))</f>
        <v/>
      </c>
      <c r="C1256" s="17"/>
      <c r="D1256" s="6"/>
      <c r="E1256" s="7" t="str">
        <f>IF($G1256="","",INDEX('EDS Lookup'!$F$6:$F$2819,$G1256))</f>
        <v/>
      </c>
      <c r="F1256" s="8" t="str">
        <f>IF($G1256="","",INDEX('EDS Lookup'!$G$6:$G$2819,$G1256))</f>
        <v/>
      </c>
      <c r="G1256" t="str">
        <f>IF(1233&lt;=$B$4,IFERROR(MATCH(1233,'EDS Lookup'!$H$6:$H$2819,0),""),"")</f>
        <v/>
      </c>
      <c r="H1256" t="str">
        <f t="shared" si="19"/>
        <v/>
      </c>
    </row>
    <row r="1257" spans="1:8" ht="19.95" customHeight="1">
      <c r="A1257" s="5" t="str">
        <f>IF($G1257="","",INDEX('EDS Lookup'!$D$6:$D$2819,$G1257))</f>
        <v/>
      </c>
      <c r="B1257" s="5" t="str">
        <f>IF($G1257="","",INDEX('EDS Lookup'!$B$6:$B$2819,$G1257))</f>
        <v/>
      </c>
      <c r="C1257" s="17"/>
      <c r="D1257" s="6"/>
      <c r="E1257" s="7" t="str">
        <f>IF($G1257="","",INDEX('EDS Lookup'!$F$6:$F$2819,$G1257))</f>
        <v/>
      </c>
      <c r="F1257" s="8" t="str">
        <f>IF($G1257="","",INDEX('EDS Lookup'!$G$6:$G$2819,$G1257))</f>
        <v/>
      </c>
      <c r="G1257" t="str">
        <f>IF(1234&lt;=$B$4,IFERROR(MATCH(1234,'EDS Lookup'!$H$6:$H$2819,0),""),"")</f>
        <v/>
      </c>
      <c r="H1257" t="str">
        <f t="shared" si="19"/>
        <v/>
      </c>
    </row>
    <row r="1258" spans="1:8" ht="19.95" customHeight="1">
      <c r="A1258" s="5" t="str">
        <f>IF($G1258="","",INDEX('EDS Lookup'!$D$6:$D$2819,$G1258))</f>
        <v/>
      </c>
      <c r="B1258" s="5" t="str">
        <f>IF($G1258="","",INDEX('EDS Lookup'!$B$6:$B$2819,$G1258))</f>
        <v/>
      </c>
      <c r="C1258" s="17"/>
      <c r="D1258" s="6"/>
      <c r="E1258" s="7" t="str">
        <f>IF($G1258="","",INDEX('EDS Lookup'!$F$6:$F$2819,$G1258))</f>
        <v/>
      </c>
      <c r="F1258" s="8" t="str">
        <f>IF($G1258="","",INDEX('EDS Lookup'!$G$6:$G$2819,$G1258))</f>
        <v/>
      </c>
      <c r="G1258" t="str">
        <f>IF(1235&lt;=$B$4,IFERROR(MATCH(1235,'EDS Lookup'!$H$6:$H$2819,0),""),"")</f>
        <v/>
      </c>
      <c r="H1258" t="str">
        <f t="shared" si="19"/>
        <v/>
      </c>
    </row>
    <row r="1259" spans="1:8" ht="19.95" customHeight="1">
      <c r="A1259" s="5" t="str">
        <f>IF($G1259="","",INDEX('EDS Lookup'!$D$6:$D$2819,$G1259))</f>
        <v/>
      </c>
      <c r="B1259" s="5" t="str">
        <f>IF($G1259="","",INDEX('EDS Lookup'!$B$6:$B$2819,$G1259))</f>
        <v/>
      </c>
      <c r="C1259" s="17"/>
      <c r="D1259" s="6"/>
      <c r="E1259" s="7" t="str">
        <f>IF($G1259="","",INDEX('EDS Lookup'!$F$6:$F$2819,$G1259))</f>
        <v/>
      </c>
      <c r="F1259" s="8" t="str">
        <f>IF($G1259="","",INDEX('EDS Lookup'!$G$6:$G$2819,$G1259))</f>
        <v/>
      </c>
      <c r="G1259" t="str">
        <f>IF(1236&lt;=$B$4,IFERROR(MATCH(1236,'EDS Lookup'!$H$6:$H$2819,0),""),"")</f>
        <v/>
      </c>
      <c r="H1259" t="str">
        <f t="shared" si="19"/>
        <v/>
      </c>
    </row>
    <row r="1260" spans="1:8" ht="19.95" customHeight="1">
      <c r="A1260" s="5" t="str">
        <f>IF($G1260="","",INDEX('EDS Lookup'!$D$6:$D$2819,$G1260))</f>
        <v/>
      </c>
      <c r="B1260" s="5" t="str">
        <f>IF($G1260="","",INDEX('EDS Lookup'!$B$6:$B$2819,$G1260))</f>
        <v/>
      </c>
      <c r="C1260" s="17"/>
      <c r="D1260" s="6"/>
      <c r="E1260" s="7" t="str">
        <f>IF($G1260="","",INDEX('EDS Lookup'!$F$6:$F$2819,$G1260))</f>
        <v/>
      </c>
      <c r="F1260" s="8" t="str">
        <f>IF($G1260="","",INDEX('EDS Lookup'!$G$6:$G$2819,$G1260))</f>
        <v/>
      </c>
      <c r="G1260" t="str">
        <f>IF(1237&lt;=$B$4,IFERROR(MATCH(1237,'EDS Lookup'!$H$6:$H$2819,0),""),"")</f>
        <v/>
      </c>
      <c r="H1260" t="str">
        <f t="shared" si="19"/>
        <v/>
      </c>
    </row>
    <row r="1261" spans="1:8" ht="19.95" customHeight="1">
      <c r="A1261" s="5" t="str">
        <f>IF($G1261="","",INDEX('EDS Lookup'!$D$6:$D$2819,$G1261))</f>
        <v/>
      </c>
      <c r="B1261" s="5" t="str">
        <f>IF($G1261="","",INDEX('EDS Lookup'!$B$6:$B$2819,$G1261))</f>
        <v/>
      </c>
      <c r="C1261" s="17"/>
      <c r="D1261" s="6"/>
      <c r="E1261" s="7" t="str">
        <f>IF($G1261="","",INDEX('EDS Lookup'!$F$6:$F$2819,$G1261))</f>
        <v/>
      </c>
      <c r="F1261" s="8" t="str">
        <f>IF($G1261="","",INDEX('EDS Lookup'!$G$6:$G$2819,$G1261))</f>
        <v/>
      </c>
      <c r="G1261" t="str">
        <f>IF(1238&lt;=$B$4,IFERROR(MATCH(1238,'EDS Lookup'!$H$6:$H$2819,0),""),"")</f>
        <v/>
      </c>
      <c r="H1261" t="str">
        <f t="shared" si="19"/>
        <v/>
      </c>
    </row>
    <row r="1262" spans="1:8" ht="19.95" customHeight="1">
      <c r="A1262" s="5" t="str">
        <f>IF($G1262="","",INDEX('EDS Lookup'!$D$6:$D$2819,$G1262))</f>
        <v/>
      </c>
      <c r="B1262" s="5" t="str">
        <f>IF($G1262="","",INDEX('EDS Lookup'!$B$6:$B$2819,$G1262))</f>
        <v/>
      </c>
      <c r="C1262" s="17"/>
      <c r="D1262" s="6"/>
      <c r="E1262" s="7" t="str">
        <f>IF($G1262="","",INDEX('EDS Lookup'!$F$6:$F$2819,$G1262))</f>
        <v/>
      </c>
      <c r="F1262" s="8" t="str">
        <f>IF($G1262="","",INDEX('EDS Lookup'!$G$6:$G$2819,$G1262))</f>
        <v/>
      </c>
      <c r="G1262" t="str">
        <f>IF(1239&lt;=$B$4,IFERROR(MATCH(1239,'EDS Lookup'!$H$6:$H$2819,0),""),"")</f>
        <v/>
      </c>
      <c r="H1262" t="str">
        <f t="shared" si="19"/>
        <v/>
      </c>
    </row>
    <row r="1263" spans="1:8" ht="19.95" customHeight="1">
      <c r="A1263" s="5" t="str">
        <f>IF($G1263="","",INDEX('EDS Lookup'!$D$6:$D$2819,$G1263))</f>
        <v/>
      </c>
      <c r="B1263" s="5" t="str">
        <f>IF($G1263="","",INDEX('EDS Lookup'!$B$6:$B$2819,$G1263))</f>
        <v/>
      </c>
      <c r="C1263" s="17"/>
      <c r="D1263" s="6"/>
      <c r="E1263" s="7" t="str">
        <f>IF($G1263="","",INDEX('EDS Lookup'!$F$6:$F$2819,$G1263))</f>
        <v/>
      </c>
      <c r="F1263" s="8" t="str">
        <f>IF($G1263="","",INDEX('EDS Lookup'!$G$6:$G$2819,$G1263))</f>
        <v/>
      </c>
      <c r="G1263" t="str">
        <f>IF(1240&lt;=$B$4,IFERROR(MATCH(1240,'EDS Lookup'!$H$6:$H$2819,0),""),"")</f>
        <v/>
      </c>
      <c r="H1263" t="str">
        <f t="shared" si="19"/>
        <v/>
      </c>
    </row>
    <row r="1264" spans="1:8" ht="19.95" customHeight="1">
      <c r="A1264" s="5" t="str">
        <f>IF($G1264="","",INDEX('EDS Lookup'!$D$6:$D$2819,$G1264))</f>
        <v/>
      </c>
      <c r="B1264" s="5" t="str">
        <f>IF($G1264="","",INDEX('EDS Lookup'!$B$6:$B$2819,$G1264))</f>
        <v/>
      </c>
      <c r="C1264" s="17"/>
      <c r="D1264" s="6"/>
      <c r="E1264" s="7" t="str">
        <f>IF($G1264="","",INDEX('EDS Lookup'!$F$6:$F$2819,$G1264))</f>
        <v/>
      </c>
      <c r="F1264" s="8" t="str">
        <f>IF($G1264="","",INDEX('EDS Lookup'!$G$6:$G$2819,$G1264))</f>
        <v/>
      </c>
      <c r="G1264" t="str">
        <f>IF(1241&lt;=$B$4,IFERROR(MATCH(1241,'EDS Lookup'!$H$6:$H$2819,0),""),"")</f>
        <v/>
      </c>
      <c r="H1264" t="str">
        <f t="shared" si="19"/>
        <v/>
      </c>
    </row>
    <row r="1265" spans="1:8" ht="19.95" customHeight="1">
      <c r="A1265" s="5" t="str">
        <f>IF($G1265="","",INDEX('EDS Lookup'!$D$6:$D$2819,$G1265))</f>
        <v/>
      </c>
      <c r="B1265" s="5" t="str">
        <f>IF($G1265="","",INDEX('EDS Lookup'!$B$6:$B$2819,$G1265))</f>
        <v/>
      </c>
      <c r="C1265" s="17"/>
      <c r="D1265" s="6"/>
      <c r="E1265" s="7" t="str">
        <f>IF($G1265="","",INDEX('EDS Lookup'!$F$6:$F$2819,$G1265))</f>
        <v/>
      </c>
      <c r="F1265" s="8" t="str">
        <f>IF($G1265="","",INDEX('EDS Lookup'!$G$6:$G$2819,$G1265))</f>
        <v/>
      </c>
      <c r="G1265" t="str">
        <f>IF(1242&lt;=$B$4,IFERROR(MATCH(1242,'EDS Lookup'!$H$6:$H$2819,0),""),"")</f>
        <v/>
      </c>
      <c r="H1265" t="str">
        <f t="shared" si="19"/>
        <v/>
      </c>
    </row>
    <row r="1266" spans="1:8" ht="19.95" customHeight="1">
      <c r="A1266" s="5" t="str">
        <f>IF($G1266="","",INDEX('EDS Lookup'!$D$6:$D$2819,$G1266))</f>
        <v/>
      </c>
      <c r="B1266" s="5" t="str">
        <f>IF($G1266="","",INDEX('EDS Lookup'!$B$6:$B$2819,$G1266))</f>
        <v/>
      </c>
      <c r="C1266" s="17"/>
      <c r="D1266" s="6"/>
      <c r="E1266" s="7" t="str">
        <f>IF($G1266="","",INDEX('EDS Lookup'!$F$6:$F$2819,$G1266))</f>
        <v/>
      </c>
      <c r="F1266" s="8" t="str">
        <f>IF($G1266="","",INDEX('EDS Lookup'!$G$6:$G$2819,$G1266))</f>
        <v/>
      </c>
      <c r="G1266" t="str">
        <f>IF(1243&lt;=$B$4,IFERROR(MATCH(1243,'EDS Lookup'!$H$6:$H$2819,0),""),"")</f>
        <v/>
      </c>
      <c r="H1266" t="str">
        <f t="shared" si="19"/>
        <v/>
      </c>
    </row>
    <row r="1267" spans="1:8" ht="19.95" customHeight="1">
      <c r="A1267" s="5" t="str">
        <f>IF($G1267="","",INDEX('EDS Lookup'!$D$6:$D$2819,$G1267))</f>
        <v/>
      </c>
      <c r="B1267" s="5" t="str">
        <f>IF($G1267="","",INDEX('EDS Lookup'!$B$6:$B$2819,$G1267))</f>
        <v/>
      </c>
      <c r="C1267" s="17"/>
      <c r="D1267" s="6"/>
      <c r="E1267" s="7" t="str">
        <f>IF($G1267="","",INDEX('EDS Lookup'!$F$6:$F$2819,$G1267))</f>
        <v/>
      </c>
      <c r="F1267" s="8" t="str">
        <f>IF($G1267="","",INDEX('EDS Lookup'!$G$6:$G$2819,$G1267))</f>
        <v/>
      </c>
      <c r="G1267" t="str">
        <f>IF(1244&lt;=$B$4,IFERROR(MATCH(1244,'EDS Lookup'!$H$6:$H$2819,0),""),"")</f>
        <v/>
      </c>
      <c r="H1267" t="str">
        <f t="shared" si="19"/>
        <v/>
      </c>
    </row>
    <row r="1268" spans="1:8" ht="19.95" customHeight="1">
      <c r="A1268" s="5" t="str">
        <f>IF($G1268="","",INDEX('EDS Lookup'!$D$6:$D$2819,$G1268))</f>
        <v/>
      </c>
      <c r="B1268" s="5" t="str">
        <f>IF($G1268="","",INDEX('EDS Lookup'!$B$6:$B$2819,$G1268))</f>
        <v/>
      </c>
      <c r="C1268" s="17"/>
      <c r="D1268" s="6"/>
      <c r="E1268" s="7" t="str">
        <f>IF($G1268="","",INDEX('EDS Lookup'!$F$6:$F$2819,$G1268))</f>
        <v/>
      </c>
      <c r="F1268" s="8" t="str">
        <f>IF($G1268="","",INDEX('EDS Lookup'!$G$6:$G$2819,$G1268))</f>
        <v/>
      </c>
      <c r="G1268" t="str">
        <f>IF(1245&lt;=$B$4,IFERROR(MATCH(1245,'EDS Lookup'!$H$6:$H$2819,0),""),"")</f>
        <v/>
      </c>
      <c r="H1268" t="str">
        <f t="shared" si="19"/>
        <v/>
      </c>
    </row>
    <row r="1269" spans="1:8" ht="19.95" customHeight="1">
      <c r="A1269" s="5" t="str">
        <f>IF($G1269="","",INDEX('EDS Lookup'!$D$6:$D$2819,$G1269))</f>
        <v/>
      </c>
      <c r="B1269" s="5" t="str">
        <f>IF($G1269="","",INDEX('EDS Lookup'!$B$6:$B$2819,$G1269))</f>
        <v/>
      </c>
      <c r="C1269" s="17"/>
      <c r="D1269" s="6"/>
      <c r="E1269" s="7" t="str">
        <f>IF($G1269="","",INDEX('EDS Lookup'!$F$6:$F$2819,$G1269))</f>
        <v/>
      </c>
      <c r="F1269" s="8" t="str">
        <f>IF($G1269="","",INDEX('EDS Lookup'!$G$6:$G$2819,$G1269))</f>
        <v/>
      </c>
      <c r="G1269" t="str">
        <f>IF(1246&lt;=$B$4,IFERROR(MATCH(1246,'EDS Lookup'!$H$6:$H$2819,0),""),"")</f>
        <v/>
      </c>
      <c r="H1269" t="str">
        <f t="shared" si="19"/>
        <v/>
      </c>
    </row>
    <row r="1270" spans="1:8" ht="19.95" customHeight="1">
      <c r="A1270" s="5" t="str">
        <f>IF($G1270="","",INDEX('EDS Lookup'!$D$6:$D$2819,$G1270))</f>
        <v/>
      </c>
      <c r="B1270" s="5" t="str">
        <f>IF($G1270="","",INDEX('EDS Lookup'!$B$6:$B$2819,$G1270))</f>
        <v/>
      </c>
      <c r="C1270" s="17"/>
      <c r="D1270" s="6"/>
      <c r="E1270" s="7" t="str">
        <f>IF($G1270="","",INDEX('EDS Lookup'!$F$6:$F$2819,$G1270))</f>
        <v/>
      </c>
      <c r="F1270" s="8" t="str">
        <f>IF($G1270="","",INDEX('EDS Lookup'!$G$6:$G$2819,$G1270))</f>
        <v/>
      </c>
      <c r="G1270" t="str">
        <f>IF(1247&lt;=$B$4,IFERROR(MATCH(1247,'EDS Lookup'!$H$6:$H$2819,0),""),"")</f>
        <v/>
      </c>
      <c r="H1270" t="str">
        <f t="shared" si="19"/>
        <v/>
      </c>
    </row>
    <row r="1271" spans="1:8" ht="19.95" customHeight="1">
      <c r="A1271" s="5" t="str">
        <f>IF($G1271="","",INDEX('EDS Lookup'!$D$6:$D$2819,$G1271))</f>
        <v/>
      </c>
      <c r="B1271" s="5" t="str">
        <f>IF($G1271="","",INDEX('EDS Lookup'!$B$6:$B$2819,$G1271))</f>
        <v/>
      </c>
      <c r="C1271" s="17"/>
      <c r="D1271" s="6"/>
      <c r="E1271" s="7" t="str">
        <f>IF($G1271="","",INDEX('EDS Lookup'!$F$6:$F$2819,$G1271))</f>
        <v/>
      </c>
      <c r="F1271" s="8" t="str">
        <f>IF($G1271="","",INDEX('EDS Lookup'!$G$6:$G$2819,$G1271))</f>
        <v/>
      </c>
      <c r="G1271" t="str">
        <f>IF(1248&lt;=$B$4,IFERROR(MATCH(1248,'EDS Lookup'!$H$6:$H$2819,0),""),"")</f>
        <v/>
      </c>
      <c r="H1271" t="str">
        <f t="shared" si="19"/>
        <v/>
      </c>
    </row>
    <row r="1272" spans="1:8" ht="19.95" customHeight="1">
      <c r="A1272" s="5" t="str">
        <f>IF($G1272="","",INDEX('EDS Lookup'!$D$6:$D$2819,$G1272))</f>
        <v/>
      </c>
      <c r="B1272" s="5" t="str">
        <f>IF($G1272="","",INDEX('EDS Lookup'!$B$6:$B$2819,$G1272))</f>
        <v/>
      </c>
      <c r="C1272" s="17"/>
      <c r="D1272" s="6"/>
      <c r="E1272" s="7" t="str">
        <f>IF($G1272="","",INDEX('EDS Lookup'!$F$6:$F$2819,$G1272))</f>
        <v/>
      </c>
      <c r="F1272" s="8" t="str">
        <f>IF($G1272="","",INDEX('EDS Lookup'!$G$6:$G$2819,$G1272))</f>
        <v/>
      </c>
      <c r="G1272" t="str">
        <f>IF(1249&lt;=$B$4,IFERROR(MATCH(1249,'EDS Lookup'!$H$6:$H$2819,0),""),"")</f>
        <v/>
      </c>
      <c r="H1272" t="str">
        <f t="shared" si="19"/>
        <v/>
      </c>
    </row>
    <row r="1273" spans="1:8" ht="19.95" customHeight="1">
      <c r="A1273" s="5" t="str">
        <f>IF($G1273="","",INDEX('EDS Lookup'!$D$6:$D$2819,$G1273))</f>
        <v/>
      </c>
      <c r="B1273" s="5" t="str">
        <f>IF($G1273="","",INDEX('EDS Lookup'!$B$6:$B$2819,$G1273))</f>
        <v/>
      </c>
      <c r="C1273" s="17"/>
      <c r="D1273" s="6"/>
      <c r="E1273" s="7" t="str">
        <f>IF($G1273="","",INDEX('EDS Lookup'!$F$6:$F$2819,$G1273))</f>
        <v/>
      </c>
      <c r="F1273" s="8" t="str">
        <f>IF($G1273="","",INDEX('EDS Lookup'!$G$6:$G$2819,$G1273))</f>
        <v/>
      </c>
      <c r="G1273" t="str">
        <f>IF(1250&lt;=$B$4,IFERROR(MATCH(1250,'EDS Lookup'!$H$6:$H$2819,0),""),"")</f>
        <v/>
      </c>
      <c r="H1273" t="str">
        <f t="shared" si="19"/>
        <v/>
      </c>
    </row>
    <row r="1274" spans="1:8" ht="19.95" customHeight="1">
      <c r="A1274" s="5" t="str">
        <f>IF($G1274="","",INDEX('EDS Lookup'!$D$6:$D$2819,$G1274))</f>
        <v/>
      </c>
      <c r="B1274" s="5" t="str">
        <f>IF($G1274="","",INDEX('EDS Lookup'!$B$6:$B$2819,$G1274))</f>
        <v/>
      </c>
      <c r="C1274" s="17"/>
      <c r="D1274" s="6"/>
      <c r="E1274" s="7" t="str">
        <f>IF($G1274="","",INDEX('EDS Lookup'!$F$6:$F$2819,$G1274))</f>
        <v/>
      </c>
      <c r="F1274" s="8" t="str">
        <f>IF($G1274="","",INDEX('EDS Lookup'!$G$6:$G$2819,$G1274))</f>
        <v/>
      </c>
      <c r="G1274" t="str">
        <f>IF(1251&lt;=$B$4,IFERROR(MATCH(1251,'EDS Lookup'!$H$6:$H$2819,0),""),"")</f>
        <v/>
      </c>
      <c r="H1274" t="str">
        <f t="shared" si="19"/>
        <v/>
      </c>
    </row>
    <row r="1275" spans="1:8" ht="19.95" customHeight="1">
      <c r="A1275" s="5" t="str">
        <f>IF($G1275="","",INDEX('EDS Lookup'!$D$6:$D$2819,$G1275))</f>
        <v/>
      </c>
      <c r="B1275" s="5" t="str">
        <f>IF($G1275="","",INDEX('EDS Lookup'!$B$6:$B$2819,$G1275))</f>
        <v/>
      </c>
      <c r="C1275" s="17"/>
      <c r="D1275" s="6"/>
      <c r="E1275" s="7" t="str">
        <f>IF($G1275="","",INDEX('EDS Lookup'!$F$6:$F$2819,$G1275))</f>
        <v/>
      </c>
      <c r="F1275" s="8" t="str">
        <f>IF($G1275="","",INDEX('EDS Lookup'!$G$6:$G$2819,$G1275))</f>
        <v/>
      </c>
      <c r="G1275" t="str">
        <f>IF(1252&lt;=$B$4,IFERROR(MATCH(1252,'EDS Lookup'!$H$6:$H$2819,0),""),"")</f>
        <v/>
      </c>
      <c r="H1275" t="str">
        <f t="shared" si="19"/>
        <v/>
      </c>
    </row>
    <row r="1276" spans="1:8" ht="19.95" customHeight="1">
      <c r="A1276" s="5" t="str">
        <f>IF($G1276="","",INDEX('EDS Lookup'!$D$6:$D$2819,$G1276))</f>
        <v/>
      </c>
      <c r="B1276" s="5" t="str">
        <f>IF($G1276="","",INDEX('EDS Lookup'!$B$6:$B$2819,$G1276))</f>
        <v/>
      </c>
      <c r="C1276" s="17"/>
      <c r="D1276" s="6"/>
      <c r="E1276" s="7" t="str">
        <f>IF($G1276="","",INDEX('EDS Lookup'!$F$6:$F$2819,$G1276))</f>
        <v/>
      </c>
      <c r="F1276" s="8" t="str">
        <f>IF($G1276="","",INDEX('EDS Lookup'!$G$6:$G$2819,$G1276))</f>
        <v/>
      </c>
      <c r="G1276" t="str">
        <f>IF(1253&lt;=$B$4,IFERROR(MATCH(1253,'EDS Lookup'!$H$6:$H$2819,0),""),"")</f>
        <v/>
      </c>
      <c r="H1276" t="str">
        <f t="shared" si="19"/>
        <v/>
      </c>
    </row>
    <row r="1277" spans="1:8" ht="19.95" customHeight="1">
      <c r="A1277" s="5" t="str">
        <f>IF($G1277="","",INDEX('EDS Lookup'!$D$6:$D$2819,$G1277))</f>
        <v/>
      </c>
      <c r="B1277" s="5" t="str">
        <f>IF($G1277="","",INDEX('EDS Lookup'!$B$6:$B$2819,$G1277))</f>
        <v/>
      </c>
      <c r="C1277" s="17"/>
      <c r="D1277" s="6"/>
      <c r="E1277" s="7" t="str">
        <f>IF($G1277="","",INDEX('EDS Lookup'!$F$6:$F$2819,$G1277))</f>
        <v/>
      </c>
      <c r="F1277" s="8" t="str">
        <f>IF($G1277="","",INDEX('EDS Lookup'!$G$6:$G$2819,$G1277))</f>
        <v/>
      </c>
      <c r="G1277" t="str">
        <f>IF(1254&lt;=$B$4,IFERROR(MATCH(1254,'EDS Lookup'!$H$6:$H$2819,0),""),"")</f>
        <v/>
      </c>
      <c r="H1277" t="str">
        <f t="shared" si="19"/>
        <v/>
      </c>
    </row>
    <row r="1278" spans="1:8" ht="19.95" customHeight="1">
      <c r="A1278" s="5" t="str">
        <f>IF($G1278="","",INDEX('EDS Lookup'!$D$6:$D$2819,$G1278))</f>
        <v/>
      </c>
      <c r="B1278" s="5" t="str">
        <f>IF($G1278="","",INDEX('EDS Lookup'!$B$6:$B$2819,$G1278))</f>
        <v/>
      </c>
      <c r="C1278" s="17"/>
      <c r="D1278" s="6"/>
      <c r="E1278" s="7" t="str">
        <f>IF($G1278="","",INDEX('EDS Lookup'!$F$6:$F$2819,$G1278))</f>
        <v/>
      </c>
      <c r="F1278" s="8" t="str">
        <f>IF($G1278="","",INDEX('EDS Lookup'!$G$6:$G$2819,$G1278))</f>
        <v/>
      </c>
      <c r="G1278" t="str">
        <f>IF(1255&lt;=$B$4,IFERROR(MATCH(1255,'EDS Lookup'!$H$6:$H$2819,0),""),"")</f>
        <v/>
      </c>
      <c r="H1278" t="str">
        <f t="shared" si="19"/>
        <v/>
      </c>
    </row>
    <row r="1279" spans="1:8" ht="19.95" customHeight="1">
      <c r="A1279" s="5" t="str">
        <f>IF($G1279="","",INDEX('EDS Lookup'!$D$6:$D$2819,$G1279))</f>
        <v/>
      </c>
      <c r="B1279" s="5" t="str">
        <f>IF($G1279="","",INDEX('EDS Lookup'!$B$6:$B$2819,$G1279))</f>
        <v/>
      </c>
      <c r="C1279" s="17"/>
      <c r="D1279" s="6"/>
      <c r="E1279" s="7" t="str">
        <f>IF($G1279="","",INDEX('EDS Lookup'!$F$6:$F$2819,$G1279))</f>
        <v/>
      </c>
      <c r="F1279" s="8" t="str">
        <f>IF($G1279="","",INDEX('EDS Lookup'!$G$6:$G$2819,$G1279))</f>
        <v/>
      </c>
      <c r="G1279" t="str">
        <f>IF(1256&lt;=$B$4,IFERROR(MATCH(1256,'EDS Lookup'!$H$6:$H$2819,0),""),"")</f>
        <v/>
      </c>
      <c r="H1279" t="str">
        <f t="shared" si="19"/>
        <v/>
      </c>
    </row>
    <row r="1280" spans="1:8" ht="19.95" customHeight="1">
      <c r="A1280" s="5" t="str">
        <f>IF($G1280="","",INDEX('EDS Lookup'!$D$6:$D$2819,$G1280))</f>
        <v/>
      </c>
      <c r="B1280" s="5" t="str">
        <f>IF($G1280="","",INDEX('EDS Lookup'!$B$6:$B$2819,$G1280))</f>
        <v/>
      </c>
      <c r="C1280" s="17"/>
      <c r="D1280" s="6"/>
      <c r="E1280" s="7" t="str">
        <f>IF($G1280="","",INDEX('EDS Lookup'!$F$6:$F$2819,$G1280))</f>
        <v/>
      </c>
      <c r="F1280" s="8" t="str">
        <f>IF($G1280="","",INDEX('EDS Lookup'!$G$6:$G$2819,$G1280))</f>
        <v/>
      </c>
      <c r="G1280" t="str">
        <f>IF(1257&lt;=$B$4,IFERROR(MATCH(1257,'EDS Lookup'!$H$6:$H$2819,0),""),"")</f>
        <v/>
      </c>
      <c r="H1280" t="str">
        <f t="shared" si="19"/>
        <v/>
      </c>
    </row>
    <row r="1281" spans="1:8" ht="19.95" customHeight="1">
      <c r="A1281" s="5" t="str">
        <f>IF($G1281="","",INDEX('EDS Lookup'!$D$6:$D$2819,$G1281))</f>
        <v/>
      </c>
      <c r="B1281" s="5" t="str">
        <f>IF($G1281="","",INDEX('EDS Lookup'!$B$6:$B$2819,$G1281))</f>
        <v/>
      </c>
      <c r="C1281" s="17"/>
      <c r="D1281" s="6"/>
      <c r="E1281" s="7" t="str">
        <f>IF($G1281="","",INDEX('EDS Lookup'!$F$6:$F$2819,$G1281))</f>
        <v/>
      </c>
      <c r="F1281" s="8" t="str">
        <f>IF($G1281="","",INDEX('EDS Lookup'!$G$6:$G$2819,$G1281))</f>
        <v/>
      </c>
      <c r="G1281" t="str">
        <f>IF(1258&lt;=$B$4,IFERROR(MATCH(1258,'EDS Lookup'!$H$6:$H$2819,0),""),"")</f>
        <v/>
      </c>
      <c r="H1281" t="str">
        <f t="shared" si="19"/>
        <v/>
      </c>
    </row>
    <row r="1282" spans="1:8" ht="19.95" customHeight="1">
      <c r="A1282" s="5" t="str">
        <f>IF($G1282="","",INDEX('EDS Lookup'!$D$6:$D$2819,$G1282))</f>
        <v/>
      </c>
      <c r="B1282" s="5" t="str">
        <f>IF($G1282="","",INDEX('EDS Lookup'!$B$6:$B$2819,$G1282))</f>
        <v/>
      </c>
      <c r="C1282" s="17"/>
      <c r="D1282" s="6"/>
      <c r="E1282" s="7" t="str">
        <f>IF($G1282="","",INDEX('EDS Lookup'!$F$6:$F$2819,$G1282))</f>
        <v/>
      </c>
      <c r="F1282" s="8" t="str">
        <f>IF($G1282="","",INDEX('EDS Lookup'!$G$6:$G$2819,$G1282))</f>
        <v/>
      </c>
      <c r="G1282" t="str">
        <f>IF(1259&lt;=$B$4,IFERROR(MATCH(1259,'EDS Lookup'!$H$6:$H$2819,0),""),"")</f>
        <v/>
      </c>
      <c r="H1282" t="str">
        <f t="shared" si="19"/>
        <v/>
      </c>
    </row>
    <row r="1283" spans="1:8" ht="19.95" customHeight="1">
      <c r="A1283" s="5" t="str">
        <f>IF($G1283="","",INDEX('EDS Lookup'!$D$6:$D$2819,$G1283))</f>
        <v/>
      </c>
      <c r="B1283" s="5" t="str">
        <f>IF($G1283="","",INDEX('EDS Lookup'!$B$6:$B$2819,$G1283))</f>
        <v/>
      </c>
      <c r="C1283" s="17"/>
      <c r="D1283" s="6"/>
      <c r="E1283" s="7" t="str">
        <f>IF($G1283="","",INDEX('EDS Lookup'!$F$6:$F$2819,$G1283))</f>
        <v/>
      </c>
      <c r="F1283" s="8" t="str">
        <f>IF($G1283="","",INDEX('EDS Lookup'!$G$6:$G$2819,$G1283))</f>
        <v/>
      </c>
      <c r="G1283" t="str">
        <f>IF(1260&lt;=$B$4,IFERROR(MATCH(1260,'EDS Lookup'!$H$6:$H$2819,0),""),"")</f>
        <v/>
      </c>
      <c r="H1283" t="str">
        <f t="shared" si="19"/>
        <v/>
      </c>
    </row>
    <row r="1284" spans="1:8" ht="19.95" customHeight="1">
      <c r="A1284" s="5" t="str">
        <f>IF($G1284="","",INDEX('EDS Lookup'!$D$6:$D$2819,$G1284))</f>
        <v/>
      </c>
      <c r="B1284" s="5" t="str">
        <f>IF($G1284="","",INDEX('EDS Lookup'!$B$6:$B$2819,$G1284))</f>
        <v/>
      </c>
      <c r="C1284" s="17"/>
      <c r="D1284" s="6"/>
      <c r="E1284" s="7" t="str">
        <f>IF($G1284="","",INDEX('EDS Lookup'!$F$6:$F$2819,$G1284))</f>
        <v/>
      </c>
      <c r="F1284" s="8" t="str">
        <f>IF($G1284="","",INDEX('EDS Lookup'!$G$6:$G$2819,$G1284))</f>
        <v/>
      </c>
      <c r="G1284" t="str">
        <f>IF(1261&lt;=$B$4,IFERROR(MATCH(1261,'EDS Lookup'!$H$6:$H$2819,0),""),"")</f>
        <v/>
      </c>
      <c r="H1284" t="str">
        <f t="shared" si="19"/>
        <v/>
      </c>
    </row>
    <row r="1285" spans="1:8" ht="19.95" customHeight="1">
      <c r="A1285" s="5" t="str">
        <f>IF($G1285="","",INDEX('EDS Lookup'!$D$6:$D$2819,$G1285))</f>
        <v/>
      </c>
      <c r="B1285" s="5" t="str">
        <f>IF($G1285="","",INDEX('EDS Lookup'!$B$6:$B$2819,$G1285))</f>
        <v/>
      </c>
      <c r="C1285" s="17"/>
      <c r="D1285" s="6"/>
      <c r="E1285" s="7" t="str">
        <f>IF($G1285="","",INDEX('EDS Lookup'!$F$6:$F$2819,$G1285))</f>
        <v/>
      </c>
      <c r="F1285" s="8" t="str">
        <f>IF($G1285="","",INDEX('EDS Lookup'!$G$6:$G$2819,$G1285))</f>
        <v/>
      </c>
      <c r="G1285" t="str">
        <f>IF(1262&lt;=$B$4,IFERROR(MATCH(1262,'EDS Lookup'!$H$6:$H$2819,0),""),"")</f>
        <v/>
      </c>
      <c r="H1285" t="str">
        <f t="shared" si="19"/>
        <v/>
      </c>
    </row>
    <row r="1286" spans="1:8" ht="19.95" customHeight="1">
      <c r="A1286" s="5" t="str">
        <f>IF($G1286="","",INDEX('EDS Lookup'!$D$6:$D$2819,$G1286))</f>
        <v/>
      </c>
      <c r="B1286" s="5" t="str">
        <f>IF($G1286="","",INDEX('EDS Lookup'!$B$6:$B$2819,$G1286))</f>
        <v/>
      </c>
      <c r="C1286" s="17"/>
      <c r="D1286" s="6"/>
      <c r="E1286" s="7" t="str">
        <f>IF($G1286="","",INDEX('EDS Lookup'!$F$6:$F$2819,$G1286))</f>
        <v/>
      </c>
      <c r="F1286" s="8" t="str">
        <f>IF($G1286="","",INDEX('EDS Lookup'!$G$6:$G$2819,$G1286))</f>
        <v/>
      </c>
      <c r="G1286" t="str">
        <f>IF(1263&lt;=$B$4,IFERROR(MATCH(1263,'EDS Lookup'!$H$6:$H$2819,0),""),"")</f>
        <v/>
      </c>
      <c r="H1286" t="str">
        <f t="shared" si="19"/>
        <v/>
      </c>
    </row>
    <row r="1287" spans="1:8" ht="19.95" customHeight="1">
      <c r="A1287" s="5" t="str">
        <f>IF($G1287="","",INDEX('EDS Lookup'!$D$6:$D$2819,$G1287))</f>
        <v/>
      </c>
      <c r="B1287" s="5" t="str">
        <f>IF($G1287="","",INDEX('EDS Lookup'!$B$6:$B$2819,$G1287))</f>
        <v/>
      </c>
      <c r="C1287" s="17"/>
      <c r="D1287" s="6"/>
      <c r="E1287" s="7" t="str">
        <f>IF($G1287="","",INDEX('EDS Lookup'!$F$6:$F$2819,$G1287))</f>
        <v/>
      </c>
      <c r="F1287" s="8" t="str">
        <f>IF($G1287="","",INDEX('EDS Lookup'!$G$6:$G$2819,$G1287))</f>
        <v/>
      </c>
      <c r="G1287" t="str">
        <f>IF(1264&lt;=$B$4,IFERROR(MATCH(1264,'EDS Lookup'!$H$6:$H$2819,0),""),"")</f>
        <v/>
      </c>
      <c r="H1287" t="str">
        <f t="shared" si="19"/>
        <v/>
      </c>
    </row>
    <row r="1288" spans="1:8" ht="19.95" customHeight="1">
      <c r="A1288" s="5" t="str">
        <f>IF($G1288="","",INDEX('EDS Lookup'!$D$6:$D$2819,$G1288))</f>
        <v/>
      </c>
      <c r="B1288" s="5" t="str">
        <f>IF($G1288="","",INDEX('EDS Lookup'!$B$6:$B$2819,$G1288))</f>
        <v/>
      </c>
      <c r="C1288" s="17"/>
      <c r="D1288" s="6"/>
      <c r="E1288" s="7" t="str">
        <f>IF($G1288="","",INDEX('EDS Lookup'!$F$6:$F$2819,$G1288))</f>
        <v/>
      </c>
      <c r="F1288" s="8" t="str">
        <f>IF($G1288="","",INDEX('EDS Lookup'!$G$6:$G$2819,$G1288))</f>
        <v/>
      </c>
      <c r="G1288" t="str">
        <f>IF(1265&lt;=$B$4,IFERROR(MATCH(1265,'EDS Lookup'!$H$6:$H$2819,0),""),"")</f>
        <v/>
      </c>
      <c r="H1288" t="str">
        <f t="shared" si="19"/>
        <v/>
      </c>
    </row>
    <row r="1289" spans="1:8" ht="19.95" customHeight="1">
      <c r="A1289" s="5" t="str">
        <f>IF($G1289="","",INDEX('EDS Lookup'!$D$6:$D$2819,$G1289))</f>
        <v/>
      </c>
      <c r="B1289" s="5" t="str">
        <f>IF($G1289="","",INDEX('EDS Lookup'!$B$6:$B$2819,$G1289))</f>
        <v/>
      </c>
      <c r="C1289" s="17"/>
      <c r="D1289" s="6"/>
      <c r="E1289" s="7" t="str">
        <f>IF($G1289="","",INDEX('EDS Lookup'!$F$6:$F$2819,$G1289))</f>
        <v/>
      </c>
      <c r="F1289" s="8" t="str">
        <f>IF($G1289="","",INDEX('EDS Lookup'!$G$6:$G$2819,$G1289))</f>
        <v/>
      </c>
      <c r="G1289" t="str">
        <f>IF(1266&lt;=$B$4,IFERROR(MATCH(1266,'EDS Lookup'!$H$6:$H$2819,0),""),"")</f>
        <v/>
      </c>
      <c r="H1289" t="str">
        <f t="shared" si="19"/>
        <v/>
      </c>
    </row>
    <row r="1290" spans="1:8" ht="19.95" customHeight="1">
      <c r="A1290" s="5" t="str">
        <f>IF($G1290="","",INDEX('EDS Lookup'!$D$6:$D$2819,$G1290))</f>
        <v/>
      </c>
      <c r="B1290" s="5" t="str">
        <f>IF($G1290="","",INDEX('EDS Lookup'!$B$6:$B$2819,$G1290))</f>
        <v/>
      </c>
      <c r="C1290" s="17"/>
      <c r="D1290" s="6"/>
      <c r="E1290" s="7" t="str">
        <f>IF($G1290="","",INDEX('EDS Lookup'!$F$6:$F$2819,$G1290))</f>
        <v/>
      </c>
      <c r="F1290" s="8" t="str">
        <f>IF($G1290="","",INDEX('EDS Lookup'!$G$6:$G$2819,$G1290))</f>
        <v/>
      </c>
      <c r="G1290" t="str">
        <f>IF(1267&lt;=$B$4,IFERROR(MATCH(1267,'EDS Lookup'!$H$6:$H$2819,0),""),"")</f>
        <v/>
      </c>
      <c r="H1290" t="str">
        <f t="shared" si="19"/>
        <v/>
      </c>
    </row>
    <row r="1291" spans="1:8" ht="19.95" customHeight="1">
      <c r="A1291" s="5" t="str">
        <f>IF($G1291="","",INDEX('EDS Lookup'!$D$6:$D$2819,$G1291))</f>
        <v/>
      </c>
      <c r="B1291" s="5" t="str">
        <f>IF($G1291="","",INDEX('EDS Lookup'!$B$6:$B$2819,$G1291))</f>
        <v/>
      </c>
      <c r="C1291" s="17"/>
      <c r="D1291" s="6"/>
      <c r="E1291" s="7" t="str">
        <f>IF($G1291="","",INDEX('EDS Lookup'!$F$6:$F$2819,$G1291))</f>
        <v/>
      </c>
      <c r="F1291" s="8" t="str">
        <f>IF($G1291="","",INDEX('EDS Lookup'!$G$6:$G$2819,$G1291))</f>
        <v/>
      </c>
      <c r="G1291" t="str">
        <f>IF(1268&lt;=$B$4,IFERROR(MATCH(1268,'EDS Lookup'!$H$6:$H$2819,0),""),"")</f>
        <v/>
      </c>
      <c r="H1291" t="str">
        <f t="shared" si="19"/>
        <v/>
      </c>
    </row>
    <row r="1292" spans="1:8" ht="19.95" customHeight="1">
      <c r="A1292" s="5" t="str">
        <f>IF($G1292="","",INDEX('EDS Lookup'!$D$6:$D$2819,$G1292))</f>
        <v/>
      </c>
      <c r="B1292" s="5" t="str">
        <f>IF($G1292="","",INDEX('EDS Lookup'!$B$6:$B$2819,$G1292))</f>
        <v/>
      </c>
      <c r="C1292" s="17"/>
      <c r="D1292" s="6"/>
      <c r="E1292" s="7" t="str">
        <f>IF($G1292="","",INDEX('EDS Lookup'!$F$6:$F$2819,$G1292))</f>
        <v/>
      </c>
      <c r="F1292" s="8" t="str">
        <f>IF($G1292="","",INDEX('EDS Lookup'!$G$6:$G$2819,$G1292))</f>
        <v/>
      </c>
      <c r="G1292" t="str">
        <f>IF(1269&lt;=$B$4,IFERROR(MATCH(1269,'EDS Lookup'!$H$6:$H$2819,0),""),"")</f>
        <v/>
      </c>
      <c r="H1292" t="str">
        <f t="shared" si="19"/>
        <v/>
      </c>
    </row>
    <row r="1293" spans="1:8" ht="19.95" customHeight="1">
      <c r="A1293" s="5" t="str">
        <f>IF($G1293="","",INDEX('EDS Lookup'!$D$6:$D$2819,$G1293))</f>
        <v/>
      </c>
      <c r="B1293" s="5" t="str">
        <f>IF($G1293="","",INDEX('EDS Lookup'!$B$6:$B$2819,$G1293))</f>
        <v/>
      </c>
      <c r="C1293" s="17"/>
      <c r="D1293" s="6"/>
      <c r="E1293" s="7" t="str">
        <f>IF($G1293="","",INDEX('EDS Lookup'!$F$6:$F$2819,$G1293))</f>
        <v/>
      </c>
      <c r="F1293" s="8" t="str">
        <f>IF($G1293="","",INDEX('EDS Lookup'!$G$6:$G$2819,$G1293))</f>
        <v/>
      </c>
      <c r="G1293" t="str">
        <f>IF(1270&lt;=$B$4,IFERROR(MATCH(1270,'EDS Lookup'!$H$6:$H$2819,0),""),"")</f>
        <v/>
      </c>
      <c r="H1293" t="str">
        <f t="shared" si="19"/>
        <v/>
      </c>
    </row>
    <row r="1294" spans="1:8" ht="19.95" customHeight="1">
      <c r="A1294" s="5" t="str">
        <f>IF($G1294="","",INDEX('EDS Lookup'!$D$6:$D$2819,$G1294))</f>
        <v/>
      </c>
      <c r="B1294" s="5" t="str">
        <f>IF($G1294="","",INDEX('EDS Lookup'!$B$6:$B$2819,$G1294))</f>
        <v/>
      </c>
      <c r="C1294" s="17"/>
      <c r="D1294" s="6"/>
      <c r="E1294" s="7" t="str">
        <f>IF($G1294="","",INDEX('EDS Lookup'!$F$6:$F$2819,$G1294))</f>
        <v/>
      </c>
      <c r="F1294" s="8" t="str">
        <f>IF($G1294="","",INDEX('EDS Lookup'!$G$6:$G$2819,$G1294))</f>
        <v/>
      </c>
      <c r="G1294" t="str">
        <f>IF(1271&lt;=$B$4,IFERROR(MATCH(1271,'EDS Lookup'!$H$6:$H$2819,0),""),"")</f>
        <v/>
      </c>
      <c r="H1294" t="str">
        <f t="shared" si="19"/>
        <v/>
      </c>
    </row>
    <row r="1295" spans="1:8" ht="19.95" customHeight="1">
      <c r="A1295" s="5" t="str">
        <f>IF($G1295="","",INDEX('EDS Lookup'!$D$6:$D$2819,$G1295))</f>
        <v/>
      </c>
      <c r="B1295" s="5" t="str">
        <f>IF($G1295="","",INDEX('EDS Lookup'!$B$6:$B$2819,$G1295))</f>
        <v/>
      </c>
      <c r="C1295" s="17"/>
      <c r="D1295" s="6"/>
      <c r="E1295" s="7" t="str">
        <f>IF($G1295="","",INDEX('EDS Lookup'!$F$6:$F$2819,$G1295))</f>
        <v/>
      </c>
      <c r="F1295" s="8" t="str">
        <f>IF($G1295="","",INDEX('EDS Lookup'!$G$6:$G$2819,$G1295))</f>
        <v/>
      </c>
      <c r="G1295" t="str">
        <f>IF(1272&lt;=$B$4,IFERROR(MATCH(1272,'EDS Lookup'!$H$6:$H$2819,0),""),"")</f>
        <v/>
      </c>
      <c r="H1295" t="str">
        <f t="shared" si="19"/>
        <v/>
      </c>
    </row>
    <row r="1296" spans="1:8" ht="19.95" customHeight="1">
      <c r="A1296" s="5" t="str">
        <f>IF($G1296="","",INDEX('EDS Lookup'!$D$6:$D$2819,$G1296))</f>
        <v/>
      </c>
      <c r="B1296" s="5" t="str">
        <f>IF($G1296="","",INDEX('EDS Lookup'!$B$6:$B$2819,$G1296))</f>
        <v/>
      </c>
      <c r="C1296" s="17"/>
      <c r="D1296" s="6"/>
      <c r="E1296" s="7" t="str">
        <f>IF($G1296="","",INDEX('EDS Lookup'!$F$6:$F$2819,$G1296))</f>
        <v/>
      </c>
      <c r="F1296" s="8" t="str">
        <f>IF($G1296="","",INDEX('EDS Lookup'!$G$6:$G$2819,$G1296))</f>
        <v/>
      </c>
      <c r="G1296" t="str">
        <f>IF(1273&lt;=$B$4,IFERROR(MATCH(1273,'EDS Lookup'!$H$6:$H$2819,0),""),"")</f>
        <v/>
      </c>
      <c r="H1296" t="str">
        <f t="shared" si="19"/>
        <v/>
      </c>
    </row>
    <row r="1297" spans="1:8" ht="19.95" customHeight="1">
      <c r="A1297" s="5" t="str">
        <f>IF($G1297="","",INDEX('EDS Lookup'!$D$6:$D$2819,$G1297))</f>
        <v/>
      </c>
      <c r="B1297" s="5" t="str">
        <f>IF($G1297="","",INDEX('EDS Lookup'!$B$6:$B$2819,$G1297))</f>
        <v/>
      </c>
      <c r="C1297" s="17"/>
      <c r="D1297" s="6"/>
      <c r="E1297" s="7" t="str">
        <f>IF($G1297="","",INDEX('EDS Lookup'!$F$6:$F$2819,$G1297))</f>
        <v/>
      </c>
      <c r="F1297" s="8" t="str">
        <f>IF($G1297="","",INDEX('EDS Lookup'!$G$6:$G$2819,$G1297))</f>
        <v/>
      </c>
      <c r="G1297" t="str">
        <f>IF(1274&lt;=$B$4,IFERROR(MATCH(1274,'EDS Lookup'!$H$6:$H$2819,0),""),"")</f>
        <v/>
      </c>
      <c r="H1297" t="str">
        <f t="shared" si="19"/>
        <v/>
      </c>
    </row>
    <row r="1298" spans="1:8" ht="19.95" customHeight="1">
      <c r="A1298" s="5" t="str">
        <f>IF($G1298="","",INDEX('EDS Lookup'!$D$6:$D$2819,$G1298))</f>
        <v/>
      </c>
      <c r="B1298" s="5" t="str">
        <f>IF($G1298="","",INDEX('EDS Lookup'!$B$6:$B$2819,$G1298))</f>
        <v/>
      </c>
      <c r="C1298" s="17"/>
      <c r="D1298" s="6"/>
      <c r="E1298" s="7" t="str">
        <f>IF($G1298="","",INDEX('EDS Lookup'!$F$6:$F$2819,$G1298))</f>
        <v/>
      </c>
      <c r="F1298" s="8" t="str">
        <f>IF($G1298="","",INDEX('EDS Lookup'!$G$6:$G$2819,$G1298))</f>
        <v/>
      </c>
      <c r="G1298" t="str">
        <f>IF(1275&lt;=$B$4,IFERROR(MATCH(1275,'EDS Lookup'!$H$6:$H$2819,0),""),"")</f>
        <v/>
      </c>
      <c r="H1298" t="str">
        <f t="shared" si="19"/>
        <v/>
      </c>
    </row>
    <row r="1299" spans="1:8" ht="19.95" customHeight="1">
      <c r="A1299" s="5" t="str">
        <f>IF($G1299="","",INDEX('EDS Lookup'!$D$6:$D$2819,$G1299))</f>
        <v/>
      </c>
      <c r="B1299" s="5" t="str">
        <f>IF($G1299="","",INDEX('EDS Lookup'!$B$6:$B$2819,$G1299))</f>
        <v/>
      </c>
      <c r="C1299" s="17"/>
      <c r="D1299" s="6"/>
      <c r="E1299" s="7" t="str">
        <f>IF($G1299="","",INDEX('EDS Lookup'!$F$6:$F$2819,$G1299))</f>
        <v/>
      </c>
      <c r="F1299" s="8" t="str">
        <f>IF($G1299="","",INDEX('EDS Lookup'!$G$6:$G$2819,$G1299))</f>
        <v/>
      </c>
      <c r="G1299" t="str">
        <f>IF(1276&lt;=$B$4,IFERROR(MATCH(1276,'EDS Lookup'!$H$6:$H$2819,0),""),"")</f>
        <v/>
      </c>
      <c r="H1299" t="str">
        <f t="shared" si="19"/>
        <v/>
      </c>
    </row>
    <row r="1300" spans="1:8" ht="19.95" customHeight="1">
      <c r="A1300" s="5" t="str">
        <f>IF($G1300="","",INDEX('EDS Lookup'!$D$6:$D$2819,$G1300))</f>
        <v/>
      </c>
      <c r="B1300" s="5" t="str">
        <f>IF($G1300="","",INDEX('EDS Lookup'!$B$6:$B$2819,$G1300))</f>
        <v/>
      </c>
      <c r="C1300" s="17"/>
      <c r="D1300" s="6"/>
      <c r="E1300" s="7" t="str">
        <f>IF($G1300="","",INDEX('EDS Lookup'!$F$6:$F$2819,$G1300))</f>
        <v/>
      </c>
      <c r="F1300" s="8" t="str">
        <f>IF($G1300="","",INDEX('EDS Lookup'!$G$6:$G$2819,$G1300))</f>
        <v/>
      </c>
      <c r="G1300" t="str">
        <f>IF(1277&lt;=$B$4,IFERROR(MATCH(1277,'EDS Lookup'!$H$6:$H$2819,0),""),"")</f>
        <v/>
      </c>
      <c r="H1300" t="str">
        <f t="shared" si="19"/>
        <v/>
      </c>
    </row>
    <row r="1301" spans="1:8" ht="19.95" customHeight="1">
      <c r="A1301" s="5" t="str">
        <f>IF($G1301="","",INDEX('EDS Lookup'!$D$6:$D$2819,$G1301))</f>
        <v/>
      </c>
      <c r="B1301" s="5" t="str">
        <f>IF($G1301="","",INDEX('EDS Lookup'!$B$6:$B$2819,$G1301))</f>
        <v/>
      </c>
      <c r="C1301" s="17"/>
      <c r="D1301" s="6"/>
      <c r="E1301" s="7" t="str">
        <f>IF($G1301="","",INDEX('EDS Lookup'!$F$6:$F$2819,$G1301))</f>
        <v/>
      </c>
      <c r="F1301" s="8" t="str">
        <f>IF($G1301="","",INDEX('EDS Lookup'!$G$6:$G$2819,$G1301))</f>
        <v/>
      </c>
      <c r="G1301" t="str">
        <f>IF(1278&lt;=$B$4,IFERROR(MATCH(1278,'EDS Lookup'!$H$6:$H$2819,0),""),"")</f>
        <v/>
      </c>
      <c r="H1301" t="str">
        <f t="shared" si="19"/>
        <v/>
      </c>
    </row>
    <row r="1302" spans="1:8" ht="19.95" customHeight="1">
      <c r="A1302" s="5" t="str">
        <f>IF($G1302="","",INDEX('EDS Lookup'!$D$6:$D$2819,$G1302))</f>
        <v/>
      </c>
      <c r="B1302" s="5" t="str">
        <f>IF($G1302="","",INDEX('EDS Lookup'!$B$6:$B$2819,$G1302))</f>
        <v/>
      </c>
      <c r="C1302" s="17"/>
      <c r="D1302" s="6"/>
      <c r="E1302" s="7" t="str">
        <f>IF($G1302="","",INDEX('EDS Lookup'!$F$6:$F$2819,$G1302))</f>
        <v/>
      </c>
      <c r="F1302" s="8" t="str">
        <f>IF($G1302="","",INDEX('EDS Lookup'!$G$6:$G$2819,$G1302))</f>
        <v/>
      </c>
      <c r="G1302" t="str">
        <f>IF(1279&lt;=$B$4,IFERROR(MATCH(1279,'EDS Lookup'!$H$6:$H$2819,0),""),"")</f>
        <v/>
      </c>
      <c r="H1302" t="str">
        <f t="shared" si="19"/>
        <v/>
      </c>
    </row>
    <row r="1303" spans="1:8" ht="19.95" customHeight="1">
      <c r="A1303" s="5" t="str">
        <f>IF($G1303="","",INDEX('EDS Lookup'!$D$6:$D$2819,$G1303))</f>
        <v/>
      </c>
      <c r="B1303" s="5" t="str">
        <f>IF($G1303="","",INDEX('EDS Lookup'!$B$6:$B$2819,$G1303))</f>
        <v/>
      </c>
      <c r="C1303" s="17"/>
      <c r="D1303" s="6"/>
      <c r="E1303" s="7" t="str">
        <f>IF($G1303="","",INDEX('EDS Lookup'!$F$6:$F$2819,$G1303))</f>
        <v/>
      </c>
      <c r="F1303" s="8" t="str">
        <f>IF($G1303="","",INDEX('EDS Lookup'!$G$6:$G$2819,$G1303))</f>
        <v/>
      </c>
      <c r="G1303" t="str">
        <f>IF(1280&lt;=$B$4,IFERROR(MATCH(1280,'EDS Lookup'!$H$6:$H$2819,0),""),"")</f>
        <v/>
      </c>
      <c r="H1303" t="str">
        <f t="shared" si="19"/>
        <v/>
      </c>
    </row>
    <row r="1304" spans="1:8" ht="19.95" customHeight="1">
      <c r="A1304" s="5" t="str">
        <f>IF($G1304="","",INDEX('EDS Lookup'!$D$6:$D$2819,$G1304))</f>
        <v/>
      </c>
      <c r="B1304" s="5" t="str">
        <f>IF($G1304="","",INDEX('EDS Lookup'!$B$6:$B$2819,$G1304))</f>
        <v/>
      </c>
      <c r="C1304" s="17"/>
      <c r="D1304" s="6"/>
      <c r="E1304" s="7" t="str">
        <f>IF($G1304="","",INDEX('EDS Lookup'!$F$6:$F$2819,$G1304))</f>
        <v/>
      </c>
      <c r="F1304" s="8" t="str">
        <f>IF($G1304="","",INDEX('EDS Lookup'!$G$6:$G$2819,$G1304))</f>
        <v/>
      </c>
      <c r="G1304" t="str">
        <f>IF(1281&lt;=$B$4,IFERROR(MATCH(1281,'EDS Lookup'!$H$6:$H$2819,0),""),"")</f>
        <v/>
      </c>
      <c r="H1304" t="str">
        <f t="shared" ref="H1304:H1367" si="20">IF(F1304="&lt;5",5,IF(F1304="&gt;95",95,IF(ISNUMBER(F1304),F1304,"")))</f>
        <v/>
      </c>
    </row>
    <row r="1305" spans="1:8" ht="19.95" customHeight="1">
      <c r="A1305" s="5" t="str">
        <f>IF($G1305="","",INDEX('EDS Lookup'!$D$6:$D$2819,$G1305))</f>
        <v/>
      </c>
      <c r="B1305" s="5" t="str">
        <f>IF($G1305="","",INDEX('EDS Lookup'!$B$6:$B$2819,$G1305))</f>
        <v/>
      </c>
      <c r="C1305" s="17"/>
      <c r="D1305" s="6"/>
      <c r="E1305" s="7" t="str">
        <f>IF($G1305="","",INDEX('EDS Lookup'!$F$6:$F$2819,$G1305))</f>
        <v/>
      </c>
      <c r="F1305" s="8" t="str">
        <f>IF($G1305="","",INDEX('EDS Lookup'!$G$6:$G$2819,$G1305))</f>
        <v/>
      </c>
      <c r="G1305" t="str">
        <f>IF(1282&lt;=$B$4,IFERROR(MATCH(1282,'EDS Lookup'!$H$6:$H$2819,0),""),"")</f>
        <v/>
      </c>
      <c r="H1305" t="str">
        <f t="shared" si="20"/>
        <v/>
      </c>
    </row>
    <row r="1306" spans="1:8" ht="19.95" customHeight="1">
      <c r="A1306" s="5" t="str">
        <f>IF($G1306="","",INDEX('EDS Lookup'!$D$6:$D$2819,$G1306))</f>
        <v/>
      </c>
      <c r="B1306" s="5" t="str">
        <f>IF($G1306="","",INDEX('EDS Lookup'!$B$6:$B$2819,$G1306))</f>
        <v/>
      </c>
      <c r="C1306" s="17"/>
      <c r="D1306" s="6"/>
      <c r="E1306" s="7" t="str">
        <f>IF($G1306="","",INDEX('EDS Lookup'!$F$6:$F$2819,$G1306))</f>
        <v/>
      </c>
      <c r="F1306" s="8" t="str">
        <f>IF($G1306="","",INDEX('EDS Lookup'!$G$6:$G$2819,$G1306))</f>
        <v/>
      </c>
      <c r="G1306" t="str">
        <f>IF(1283&lt;=$B$4,IFERROR(MATCH(1283,'EDS Lookup'!$H$6:$H$2819,0),""),"")</f>
        <v/>
      </c>
      <c r="H1306" t="str">
        <f t="shared" si="20"/>
        <v/>
      </c>
    </row>
    <row r="1307" spans="1:8" ht="19.95" customHeight="1">
      <c r="A1307" s="5" t="str">
        <f>IF($G1307="","",INDEX('EDS Lookup'!$D$6:$D$2819,$G1307))</f>
        <v/>
      </c>
      <c r="B1307" s="5" t="str">
        <f>IF($G1307="","",INDEX('EDS Lookup'!$B$6:$B$2819,$G1307))</f>
        <v/>
      </c>
      <c r="C1307" s="17"/>
      <c r="D1307" s="6"/>
      <c r="E1307" s="7" t="str">
        <f>IF($G1307="","",INDEX('EDS Lookup'!$F$6:$F$2819,$G1307))</f>
        <v/>
      </c>
      <c r="F1307" s="8" t="str">
        <f>IF($G1307="","",INDEX('EDS Lookup'!$G$6:$G$2819,$G1307))</f>
        <v/>
      </c>
      <c r="G1307" t="str">
        <f>IF(1284&lt;=$B$4,IFERROR(MATCH(1284,'EDS Lookup'!$H$6:$H$2819,0),""),"")</f>
        <v/>
      </c>
      <c r="H1307" t="str">
        <f t="shared" si="20"/>
        <v/>
      </c>
    </row>
    <row r="1308" spans="1:8" ht="19.95" customHeight="1">
      <c r="A1308" s="5" t="str">
        <f>IF($G1308="","",INDEX('EDS Lookup'!$D$6:$D$2819,$G1308))</f>
        <v/>
      </c>
      <c r="B1308" s="5" t="str">
        <f>IF($G1308="","",INDEX('EDS Lookup'!$B$6:$B$2819,$G1308))</f>
        <v/>
      </c>
      <c r="C1308" s="17"/>
      <c r="D1308" s="6"/>
      <c r="E1308" s="7" t="str">
        <f>IF($G1308="","",INDEX('EDS Lookup'!$F$6:$F$2819,$G1308))</f>
        <v/>
      </c>
      <c r="F1308" s="8" t="str">
        <f>IF($G1308="","",INDEX('EDS Lookup'!$G$6:$G$2819,$G1308))</f>
        <v/>
      </c>
      <c r="G1308" t="str">
        <f>IF(1285&lt;=$B$4,IFERROR(MATCH(1285,'EDS Lookup'!$H$6:$H$2819,0),""),"")</f>
        <v/>
      </c>
      <c r="H1308" t="str">
        <f t="shared" si="20"/>
        <v/>
      </c>
    </row>
    <row r="1309" spans="1:8" ht="19.95" customHeight="1">
      <c r="A1309" s="5" t="str">
        <f>IF($G1309="","",INDEX('EDS Lookup'!$D$6:$D$2819,$G1309))</f>
        <v/>
      </c>
      <c r="B1309" s="5" t="str">
        <f>IF($G1309="","",INDEX('EDS Lookup'!$B$6:$B$2819,$G1309))</f>
        <v/>
      </c>
      <c r="C1309" s="17"/>
      <c r="D1309" s="6"/>
      <c r="E1309" s="7" t="str">
        <f>IF($G1309="","",INDEX('EDS Lookup'!$F$6:$F$2819,$G1309))</f>
        <v/>
      </c>
      <c r="F1309" s="8" t="str">
        <f>IF($G1309="","",INDEX('EDS Lookup'!$G$6:$G$2819,$G1309))</f>
        <v/>
      </c>
      <c r="G1309" t="str">
        <f>IF(1286&lt;=$B$4,IFERROR(MATCH(1286,'EDS Lookup'!$H$6:$H$2819,0),""),"")</f>
        <v/>
      </c>
      <c r="H1309" t="str">
        <f t="shared" si="20"/>
        <v/>
      </c>
    </row>
    <row r="1310" spans="1:8" ht="19.95" customHeight="1">
      <c r="A1310" s="5" t="str">
        <f>IF($G1310="","",INDEX('EDS Lookup'!$D$6:$D$2819,$G1310))</f>
        <v/>
      </c>
      <c r="B1310" s="5" t="str">
        <f>IF($G1310="","",INDEX('EDS Lookup'!$B$6:$B$2819,$G1310))</f>
        <v/>
      </c>
      <c r="C1310" s="17"/>
      <c r="D1310" s="6"/>
      <c r="E1310" s="7" t="str">
        <f>IF($G1310="","",INDEX('EDS Lookup'!$F$6:$F$2819,$G1310))</f>
        <v/>
      </c>
      <c r="F1310" s="8" t="str">
        <f>IF($G1310="","",INDEX('EDS Lookup'!$G$6:$G$2819,$G1310))</f>
        <v/>
      </c>
      <c r="G1310" t="str">
        <f>IF(1287&lt;=$B$4,IFERROR(MATCH(1287,'EDS Lookup'!$H$6:$H$2819,0),""),"")</f>
        <v/>
      </c>
      <c r="H1310" t="str">
        <f t="shared" si="20"/>
        <v/>
      </c>
    </row>
    <row r="1311" spans="1:8" ht="19.95" customHeight="1">
      <c r="A1311" s="5" t="str">
        <f>IF($G1311="","",INDEX('EDS Lookup'!$D$6:$D$2819,$G1311))</f>
        <v/>
      </c>
      <c r="B1311" s="5" t="str">
        <f>IF($G1311="","",INDEX('EDS Lookup'!$B$6:$B$2819,$G1311))</f>
        <v/>
      </c>
      <c r="C1311" s="17"/>
      <c r="D1311" s="6"/>
      <c r="E1311" s="7" t="str">
        <f>IF($G1311="","",INDEX('EDS Lookup'!$F$6:$F$2819,$G1311))</f>
        <v/>
      </c>
      <c r="F1311" s="8" t="str">
        <f>IF($G1311="","",INDEX('EDS Lookup'!$G$6:$G$2819,$G1311))</f>
        <v/>
      </c>
      <c r="G1311" t="str">
        <f>IF(1288&lt;=$B$4,IFERROR(MATCH(1288,'EDS Lookup'!$H$6:$H$2819,0),""),"")</f>
        <v/>
      </c>
      <c r="H1311" t="str">
        <f t="shared" si="20"/>
        <v/>
      </c>
    </row>
    <row r="1312" spans="1:8" ht="19.95" customHeight="1">
      <c r="A1312" s="5" t="str">
        <f>IF($G1312="","",INDEX('EDS Lookup'!$D$6:$D$2819,$G1312))</f>
        <v/>
      </c>
      <c r="B1312" s="5" t="str">
        <f>IF($G1312="","",INDEX('EDS Lookup'!$B$6:$B$2819,$G1312))</f>
        <v/>
      </c>
      <c r="C1312" s="17"/>
      <c r="D1312" s="6"/>
      <c r="E1312" s="7" t="str">
        <f>IF($G1312="","",INDEX('EDS Lookup'!$F$6:$F$2819,$G1312))</f>
        <v/>
      </c>
      <c r="F1312" s="8" t="str">
        <f>IF($G1312="","",INDEX('EDS Lookup'!$G$6:$G$2819,$G1312))</f>
        <v/>
      </c>
      <c r="G1312" t="str">
        <f>IF(1289&lt;=$B$4,IFERROR(MATCH(1289,'EDS Lookup'!$H$6:$H$2819,0),""),"")</f>
        <v/>
      </c>
      <c r="H1312" t="str">
        <f t="shared" si="20"/>
        <v/>
      </c>
    </row>
    <row r="1313" spans="1:8" ht="19.95" customHeight="1">
      <c r="A1313" s="5" t="str">
        <f>IF($G1313="","",INDEX('EDS Lookup'!$D$6:$D$2819,$G1313))</f>
        <v/>
      </c>
      <c r="B1313" s="5" t="str">
        <f>IF($G1313="","",INDEX('EDS Lookup'!$B$6:$B$2819,$G1313))</f>
        <v/>
      </c>
      <c r="C1313" s="17"/>
      <c r="D1313" s="6"/>
      <c r="E1313" s="7" t="str">
        <f>IF($G1313="","",INDEX('EDS Lookup'!$F$6:$F$2819,$G1313))</f>
        <v/>
      </c>
      <c r="F1313" s="8" t="str">
        <f>IF($G1313="","",INDEX('EDS Lookup'!$G$6:$G$2819,$G1313))</f>
        <v/>
      </c>
      <c r="G1313" t="str">
        <f>IF(1290&lt;=$B$4,IFERROR(MATCH(1290,'EDS Lookup'!$H$6:$H$2819,0),""),"")</f>
        <v/>
      </c>
      <c r="H1313" t="str">
        <f t="shared" si="20"/>
        <v/>
      </c>
    </row>
    <row r="1314" spans="1:8" ht="19.95" customHeight="1">
      <c r="A1314" s="5" t="str">
        <f>IF($G1314="","",INDEX('EDS Lookup'!$D$6:$D$2819,$G1314))</f>
        <v/>
      </c>
      <c r="B1314" s="5" t="str">
        <f>IF($G1314="","",INDEX('EDS Lookup'!$B$6:$B$2819,$G1314))</f>
        <v/>
      </c>
      <c r="C1314" s="17"/>
      <c r="D1314" s="6"/>
      <c r="E1314" s="7" t="str">
        <f>IF($G1314="","",INDEX('EDS Lookup'!$F$6:$F$2819,$G1314))</f>
        <v/>
      </c>
      <c r="F1314" s="8" t="str">
        <f>IF($G1314="","",INDEX('EDS Lookup'!$G$6:$G$2819,$G1314))</f>
        <v/>
      </c>
      <c r="G1314" t="str">
        <f>IF(1291&lt;=$B$4,IFERROR(MATCH(1291,'EDS Lookup'!$H$6:$H$2819,0),""),"")</f>
        <v/>
      </c>
      <c r="H1314" t="str">
        <f t="shared" si="20"/>
        <v/>
      </c>
    </row>
    <row r="1315" spans="1:8" ht="19.95" customHeight="1">
      <c r="A1315" s="5" t="str">
        <f>IF($G1315="","",INDEX('EDS Lookup'!$D$6:$D$2819,$G1315))</f>
        <v/>
      </c>
      <c r="B1315" s="5" t="str">
        <f>IF($G1315="","",INDEX('EDS Lookup'!$B$6:$B$2819,$G1315))</f>
        <v/>
      </c>
      <c r="C1315" s="17"/>
      <c r="D1315" s="6"/>
      <c r="E1315" s="7" t="str">
        <f>IF($G1315="","",INDEX('EDS Lookup'!$F$6:$F$2819,$G1315))</f>
        <v/>
      </c>
      <c r="F1315" s="8" t="str">
        <f>IF($G1315="","",INDEX('EDS Lookup'!$G$6:$G$2819,$G1315))</f>
        <v/>
      </c>
      <c r="G1315" t="str">
        <f>IF(1292&lt;=$B$4,IFERROR(MATCH(1292,'EDS Lookup'!$H$6:$H$2819,0),""),"")</f>
        <v/>
      </c>
      <c r="H1315" t="str">
        <f t="shared" si="20"/>
        <v/>
      </c>
    </row>
    <row r="1316" spans="1:8" ht="19.95" customHeight="1">
      <c r="A1316" s="5" t="str">
        <f>IF($G1316="","",INDEX('EDS Lookup'!$D$6:$D$2819,$G1316))</f>
        <v/>
      </c>
      <c r="B1316" s="5" t="str">
        <f>IF($G1316="","",INDEX('EDS Lookup'!$B$6:$B$2819,$G1316))</f>
        <v/>
      </c>
      <c r="C1316" s="17"/>
      <c r="D1316" s="6"/>
      <c r="E1316" s="7" t="str">
        <f>IF($G1316="","",INDEX('EDS Lookup'!$F$6:$F$2819,$G1316))</f>
        <v/>
      </c>
      <c r="F1316" s="8" t="str">
        <f>IF($G1316="","",INDEX('EDS Lookup'!$G$6:$G$2819,$G1316))</f>
        <v/>
      </c>
      <c r="G1316" t="str">
        <f>IF(1293&lt;=$B$4,IFERROR(MATCH(1293,'EDS Lookup'!$H$6:$H$2819,0),""),"")</f>
        <v/>
      </c>
      <c r="H1316" t="str">
        <f t="shared" si="20"/>
        <v/>
      </c>
    </row>
    <row r="1317" spans="1:8" ht="19.95" customHeight="1">
      <c r="A1317" s="5" t="str">
        <f>IF($G1317="","",INDEX('EDS Lookup'!$D$6:$D$2819,$G1317))</f>
        <v/>
      </c>
      <c r="B1317" s="5" t="str">
        <f>IF($G1317="","",INDEX('EDS Lookup'!$B$6:$B$2819,$G1317))</f>
        <v/>
      </c>
      <c r="C1317" s="17"/>
      <c r="D1317" s="6"/>
      <c r="E1317" s="7" t="str">
        <f>IF($G1317="","",INDEX('EDS Lookup'!$F$6:$F$2819,$G1317))</f>
        <v/>
      </c>
      <c r="F1317" s="8" t="str">
        <f>IF($G1317="","",INDEX('EDS Lookup'!$G$6:$G$2819,$G1317))</f>
        <v/>
      </c>
      <c r="G1317" t="str">
        <f>IF(1294&lt;=$B$4,IFERROR(MATCH(1294,'EDS Lookup'!$H$6:$H$2819,0),""),"")</f>
        <v/>
      </c>
      <c r="H1317" t="str">
        <f t="shared" si="20"/>
        <v/>
      </c>
    </row>
    <row r="1318" spans="1:8" ht="19.95" customHeight="1">
      <c r="A1318" s="5" t="str">
        <f>IF($G1318="","",INDEX('EDS Lookup'!$D$6:$D$2819,$G1318))</f>
        <v/>
      </c>
      <c r="B1318" s="5" t="str">
        <f>IF($G1318="","",INDEX('EDS Lookup'!$B$6:$B$2819,$G1318))</f>
        <v/>
      </c>
      <c r="C1318" s="17"/>
      <c r="D1318" s="6"/>
      <c r="E1318" s="7" t="str">
        <f>IF($G1318="","",INDEX('EDS Lookup'!$F$6:$F$2819,$G1318))</f>
        <v/>
      </c>
      <c r="F1318" s="8" t="str">
        <f>IF($G1318="","",INDEX('EDS Lookup'!$G$6:$G$2819,$G1318))</f>
        <v/>
      </c>
      <c r="G1318" t="str">
        <f>IF(1295&lt;=$B$4,IFERROR(MATCH(1295,'EDS Lookup'!$H$6:$H$2819,0),""),"")</f>
        <v/>
      </c>
      <c r="H1318" t="str">
        <f t="shared" si="20"/>
        <v/>
      </c>
    </row>
    <row r="1319" spans="1:8" ht="19.95" customHeight="1">
      <c r="A1319" s="5" t="str">
        <f>IF($G1319="","",INDEX('EDS Lookup'!$D$6:$D$2819,$G1319))</f>
        <v/>
      </c>
      <c r="B1319" s="5" t="str">
        <f>IF($G1319="","",INDEX('EDS Lookup'!$B$6:$B$2819,$G1319))</f>
        <v/>
      </c>
      <c r="C1319" s="17"/>
      <c r="D1319" s="6"/>
      <c r="E1319" s="7" t="str">
        <f>IF($G1319="","",INDEX('EDS Lookup'!$F$6:$F$2819,$G1319))</f>
        <v/>
      </c>
      <c r="F1319" s="8" t="str">
        <f>IF($G1319="","",INDEX('EDS Lookup'!$G$6:$G$2819,$G1319))</f>
        <v/>
      </c>
      <c r="G1319" t="str">
        <f>IF(1296&lt;=$B$4,IFERROR(MATCH(1296,'EDS Lookup'!$H$6:$H$2819,0),""),"")</f>
        <v/>
      </c>
      <c r="H1319" t="str">
        <f t="shared" si="20"/>
        <v/>
      </c>
    </row>
    <row r="1320" spans="1:8" ht="19.95" customHeight="1">
      <c r="A1320" s="5" t="str">
        <f>IF($G1320="","",INDEX('EDS Lookup'!$D$6:$D$2819,$G1320))</f>
        <v/>
      </c>
      <c r="B1320" s="5" t="str">
        <f>IF($G1320="","",INDEX('EDS Lookup'!$B$6:$B$2819,$G1320))</f>
        <v/>
      </c>
      <c r="C1320" s="17"/>
      <c r="D1320" s="6"/>
      <c r="E1320" s="7" t="str">
        <f>IF($G1320="","",INDEX('EDS Lookup'!$F$6:$F$2819,$G1320))</f>
        <v/>
      </c>
      <c r="F1320" s="8" t="str">
        <f>IF($G1320="","",INDEX('EDS Lookup'!$G$6:$G$2819,$G1320))</f>
        <v/>
      </c>
      <c r="G1320" t="str">
        <f>IF(1297&lt;=$B$4,IFERROR(MATCH(1297,'EDS Lookup'!$H$6:$H$2819,0),""),"")</f>
        <v/>
      </c>
      <c r="H1320" t="str">
        <f t="shared" si="20"/>
        <v/>
      </c>
    </row>
    <row r="1321" spans="1:8" ht="19.95" customHeight="1">
      <c r="A1321" s="5" t="str">
        <f>IF($G1321="","",INDEX('EDS Lookup'!$D$6:$D$2819,$G1321))</f>
        <v/>
      </c>
      <c r="B1321" s="5" t="str">
        <f>IF($G1321="","",INDEX('EDS Lookup'!$B$6:$B$2819,$G1321))</f>
        <v/>
      </c>
      <c r="C1321" s="17"/>
      <c r="D1321" s="6"/>
      <c r="E1321" s="7" t="str">
        <f>IF($G1321="","",INDEX('EDS Lookup'!$F$6:$F$2819,$G1321))</f>
        <v/>
      </c>
      <c r="F1321" s="8" t="str">
        <f>IF($G1321="","",INDEX('EDS Lookup'!$G$6:$G$2819,$G1321))</f>
        <v/>
      </c>
      <c r="G1321" t="str">
        <f>IF(1298&lt;=$B$4,IFERROR(MATCH(1298,'EDS Lookup'!$H$6:$H$2819,0),""),"")</f>
        <v/>
      </c>
      <c r="H1321" t="str">
        <f t="shared" si="20"/>
        <v/>
      </c>
    </row>
    <row r="1322" spans="1:8" ht="19.95" customHeight="1">
      <c r="A1322" s="5" t="str">
        <f>IF($G1322="","",INDEX('EDS Lookup'!$D$6:$D$2819,$G1322))</f>
        <v/>
      </c>
      <c r="B1322" s="5" t="str">
        <f>IF($G1322="","",INDEX('EDS Lookup'!$B$6:$B$2819,$G1322))</f>
        <v/>
      </c>
      <c r="C1322" s="17"/>
      <c r="D1322" s="6"/>
      <c r="E1322" s="7" t="str">
        <f>IF($G1322="","",INDEX('EDS Lookup'!$F$6:$F$2819,$G1322))</f>
        <v/>
      </c>
      <c r="F1322" s="8" t="str">
        <f>IF($G1322="","",INDEX('EDS Lookup'!$G$6:$G$2819,$G1322))</f>
        <v/>
      </c>
      <c r="G1322" t="str">
        <f>IF(1299&lt;=$B$4,IFERROR(MATCH(1299,'EDS Lookup'!$H$6:$H$2819,0),""),"")</f>
        <v/>
      </c>
      <c r="H1322" t="str">
        <f t="shared" si="20"/>
        <v/>
      </c>
    </row>
    <row r="1323" spans="1:8" ht="19.95" customHeight="1">
      <c r="A1323" s="5" t="str">
        <f>IF($G1323="","",INDEX('EDS Lookup'!$D$6:$D$2819,$G1323))</f>
        <v/>
      </c>
      <c r="B1323" s="5" t="str">
        <f>IF($G1323="","",INDEX('EDS Lookup'!$B$6:$B$2819,$G1323))</f>
        <v/>
      </c>
      <c r="C1323" s="17"/>
      <c r="D1323" s="6"/>
      <c r="E1323" s="7" t="str">
        <f>IF($G1323="","",INDEX('EDS Lookup'!$F$6:$F$2819,$G1323))</f>
        <v/>
      </c>
      <c r="F1323" s="8" t="str">
        <f>IF($G1323="","",INDEX('EDS Lookup'!$G$6:$G$2819,$G1323))</f>
        <v/>
      </c>
      <c r="G1323" t="str">
        <f>IF(1300&lt;=$B$4,IFERROR(MATCH(1300,'EDS Lookup'!$H$6:$H$2819,0),""),"")</f>
        <v/>
      </c>
      <c r="H1323" t="str">
        <f t="shared" si="20"/>
        <v/>
      </c>
    </row>
    <row r="1324" spans="1:8" ht="19.95" customHeight="1">
      <c r="A1324" s="5" t="str">
        <f>IF($G1324="","",INDEX('EDS Lookup'!$D$6:$D$2819,$G1324))</f>
        <v/>
      </c>
      <c r="B1324" s="5" t="str">
        <f>IF($G1324="","",INDEX('EDS Lookup'!$B$6:$B$2819,$G1324))</f>
        <v/>
      </c>
      <c r="C1324" s="17"/>
      <c r="D1324" s="6"/>
      <c r="E1324" s="7" t="str">
        <f>IF($G1324="","",INDEX('EDS Lookup'!$F$6:$F$2819,$G1324))</f>
        <v/>
      </c>
      <c r="F1324" s="8" t="str">
        <f>IF($G1324="","",INDEX('EDS Lookup'!$G$6:$G$2819,$G1324))</f>
        <v/>
      </c>
      <c r="G1324" t="str">
        <f>IF(1301&lt;=$B$4,IFERROR(MATCH(1301,'EDS Lookup'!$H$6:$H$2819,0),""),"")</f>
        <v/>
      </c>
      <c r="H1324" t="str">
        <f t="shared" si="20"/>
        <v/>
      </c>
    </row>
    <row r="1325" spans="1:8" ht="19.95" customHeight="1">
      <c r="A1325" s="5" t="str">
        <f>IF($G1325="","",INDEX('EDS Lookup'!$D$6:$D$2819,$G1325))</f>
        <v/>
      </c>
      <c r="B1325" s="5" t="str">
        <f>IF($G1325="","",INDEX('EDS Lookup'!$B$6:$B$2819,$G1325))</f>
        <v/>
      </c>
      <c r="C1325" s="17"/>
      <c r="D1325" s="6"/>
      <c r="E1325" s="7" t="str">
        <f>IF($G1325="","",INDEX('EDS Lookup'!$F$6:$F$2819,$G1325))</f>
        <v/>
      </c>
      <c r="F1325" s="8" t="str">
        <f>IF($G1325="","",INDEX('EDS Lookup'!$G$6:$G$2819,$G1325))</f>
        <v/>
      </c>
      <c r="G1325" t="str">
        <f>IF(1302&lt;=$B$4,IFERROR(MATCH(1302,'EDS Lookup'!$H$6:$H$2819,0),""),"")</f>
        <v/>
      </c>
      <c r="H1325" t="str">
        <f t="shared" si="20"/>
        <v/>
      </c>
    </row>
    <row r="1326" spans="1:8" ht="19.95" customHeight="1">
      <c r="A1326" s="5" t="str">
        <f>IF($G1326="","",INDEX('EDS Lookup'!$D$6:$D$2819,$G1326))</f>
        <v/>
      </c>
      <c r="B1326" s="5" t="str">
        <f>IF($G1326="","",INDEX('EDS Lookup'!$B$6:$B$2819,$G1326))</f>
        <v/>
      </c>
      <c r="C1326" s="17"/>
      <c r="D1326" s="6"/>
      <c r="E1326" s="7" t="str">
        <f>IF($G1326="","",INDEX('EDS Lookup'!$F$6:$F$2819,$G1326))</f>
        <v/>
      </c>
      <c r="F1326" s="8" t="str">
        <f>IF($G1326="","",INDEX('EDS Lookup'!$G$6:$G$2819,$G1326))</f>
        <v/>
      </c>
      <c r="G1326" t="str">
        <f>IF(1303&lt;=$B$4,IFERROR(MATCH(1303,'EDS Lookup'!$H$6:$H$2819,0),""),"")</f>
        <v/>
      </c>
      <c r="H1326" t="str">
        <f t="shared" si="20"/>
        <v/>
      </c>
    </row>
    <row r="1327" spans="1:8" ht="19.95" customHeight="1">
      <c r="A1327" s="5" t="str">
        <f>IF($G1327="","",INDEX('EDS Lookup'!$D$6:$D$2819,$G1327))</f>
        <v/>
      </c>
      <c r="B1327" s="5" t="str">
        <f>IF($G1327="","",INDEX('EDS Lookup'!$B$6:$B$2819,$G1327))</f>
        <v/>
      </c>
      <c r="C1327" s="17"/>
      <c r="D1327" s="6"/>
      <c r="E1327" s="7" t="str">
        <f>IF($G1327="","",INDEX('EDS Lookup'!$F$6:$F$2819,$G1327))</f>
        <v/>
      </c>
      <c r="F1327" s="8" t="str">
        <f>IF($G1327="","",INDEX('EDS Lookup'!$G$6:$G$2819,$G1327))</f>
        <v/>
      </c>
      <c r="G1327" t="str">
        <f>IF(1304&lt;=$B$4,IFERROR(MATCH(1304,'EDS Lookup'!$H$6:$H$2819,0),""),"")</f>
        <v/>
      </c>
      <c r="H1327" t="str">
        <f t="shared" si="20"/>
        <v/>
      </c>
    </row>
    <row r="1328" spans="1:8" ht="19.95" customHeight="1">
      <c r="A1328" s="5" t="str">
        <f>IF($G1328="","",INDEX('EDS Lookup'!$D$6:$D$2819,$G1328))</f>
        <v/>
      </c>
      <c r="B1328" s="5" t="str">
        <f>IF($G1328="","",INDEX('EDS Lookup'!$B$6:$B$2819,$G1328))</f>
        <v/>
      </c>
      <c r="C1328" s="17"/>
      <c r="D1328" s="6"/>
      <c r="E1328" s="7" t="str">
        <f>IF($G1328="","",INDEX('EDS Lookup'!$F$6:$F$2819,$G1328))</f>
        <v/>
      </c>
      <c r="F1328" s="8" t="str">
        <f>IF($G1328="","",INDEX('EDS Lookup'!$G$6:$G$2819,$G1328))</f>
        <v/>
      </c>
      <c r="G1328" t="str">
        <f>IF(1305&lt;=$B$4,IFERROR(MATCH(1305,'EDS Lookup'!$H$6:$H$2819,0),""),"")</f>
        <v/>
      </c>
      <c r="H1328" t="str">
        <f t="shared" si="20"/>
        <v/>
      </c>
    </row>
    <row r="1329" spans="1:8" ht="19.95" customHeight="1">
      <c r="A1329" s="5" t="str">
        <f>IF($G1329="","",INDEX('EDS Lookup'!$D$6:$D$2819,$G1329))</f>
        <v/>
      </c>
      <c r="B1329" s="5" t="str">
        <f>IF($G1329="","",INDEX('EDS Lookup'!$B$6:$B$2819,$G1329))</f>
        <v/>
      </c>
      <c r="C1329" s="17"/>
      <c r="D1329" s="6"/>
      <c r="E1329" s="7" t="str">
        <f>IF($G1329="","",INDEX('EDS Lookup'!$F$6:$F$2819,$G1329))</f>
        <v/>
      </c>
      <c r="F1329" s="8" t="str">
        <f>IF($G1329="","",INDEX('EDS Lookup'!$G$6:$G$2819,$G1329))</f>
        <v/>
      </c>
      <c r="G1329" t="str">
        <f>IF(1306&lt;=$B$4,IFERROR(MATCH(1306,'EDS Lookup'!$H$6:$H$2819,0),""),"")</f>
        <v/>
      </c>
      <c r="H1329" t="str">
        <f t="shared" si="20"/>
        <v/>
      </c>
    </row>
    <row r="1330" spans="1:8" ht="19.95" customHeight="1">
      <c r="A1330" s="5" t="str">
        <f>IF($G1330="","",INDEX('EDS Lookup'!$D$6:$D$2819,$G1330))</f>
        <v/>
      </c>
      <c r="B1330" s="5" t="str">
        <f>IF($G1330="","",INDEX('EDS Lookup'!$B$6:$B$2819,$G1330))</f>
        <v/>
      </c>
      <c r="C1330" s="17"/>
      <c r="D1330" s="6"/>
      <c r="E1330" s="7" t="str">
        <f>IF($G1330="","",INDEX('EDS Lookup'!$F$6:$F$2819,$G1330))</f>
        <v/>
      </c>
      <c r="F1330" s="8" t="str">
        <f>IF($G1330="","",INDEX('EDS Lookup'!$G$6:$G$2819,$G1330))</f>
        <v/>
      </c>
      <c r="G1330" t="str">
        <f>IF(1307&lt;=$B$4,IFERROR(MATCH(1307,'EDS Lookup'!$H$6:$H$2819,0),""),"")</f>
        <v/>
      </c>
      <c r="H1330" t="str">
        <f t="shared" si="20"/>
        <v/>
      </c>
    </row>
    <row r="1331" spans="1:8" ht="19.95" customHeight="1">
      <c r="A1331" s="5" t="str">
        <f>IF($G1331="","",INDEX('EDS Lookup'!$D$6:$D$2819,$G1331))</f>
        <v/>
      </c>
      <c r="B1331" s="5" t="str">
        <f>IF($G1331="","",INDEX('EDS Lookup'!$B$6:$B$2819,$G1331))</f>
        <v/>
      </c>
      <c r="C1331" s="17"/>
      <c r="D1331" s="6"/>
      <c r="E1331" s="7" t="str">
        <f>IF($G1331="","",INDEX('EDS Lookup'!$F$6:$F$2819,$G1331))</f>
        <v/>
      </c>
      <c r="F1331" s="8" t="str">
        <f>IF($G1331="","",INDEX('EDS Lookup'!$G$6:$G$2819,$G1331))</f>
        <v/>
      </c>
      <c r="G1331" t="str">
        <f>IF(1308&lt;=$B$4,IFERROR(MATCH(1308,'EDS Lookup'!$H$6:$H$2819,0),""),"")</f>
        <v/>
      </c>
      <c r="H1331" t="str">
        <f t="shared" si="20"/>
        <v/>
      </c>
    </row>
    <row r="1332" spans="1:8" ht="19.95" customHeight="1">
      <c r="A1332" s="5" t="str">
        <f>IF($G1332="","",INDEX('EDS Lookup'!$D$6:$D$2819,$G1332))</f>
        <v/>
      </c>
      <c r="B1332" s="5" t="str">
        <f>IF($G1332="","",INDEX('EDS Lookup'!$B$6:$B$2819,$G1332))</f>
        <v/>
      </c>
      <c r="C1332" s="17"/>
      <c r="D1332" s="6"/>
      <c r="E1332" s="7" t="str">
        <f>IF($G1332="","",INDEX('EDS Lookup'!$F$6:$F$2819,$G1332))</f>
        <v/>
      </c>
      <c r="F1332" s="8" t="str">
        <f>IF($G1332="","",INDEX('EDS Lookup'!$G$6:$G$2819,$G1332))</f>
        <v/>
      </c>
      <c r="G1332" t="str">
        <f>IF(1309&lt;=$B$4,IFERROR(MATCH(1309,'EDS Lookup'!$H$6:$H$2819,0),""),"")</f>
        <v/>
      </c>
      <c r="H1332" t="str">
        <f t="shared" si="20"/>
        <v/>
      </c>
    </row>
    <row r="1333" spans="1:8" ht="19.95" customHeight="1">
      <c r="A1333" s="5" t="str">
        <f>IF($G1333="","",INDEX('EDS Lookup'!$D$6:$D$2819,$G1333))</f>
        <v/>
      </c>
      <c r="B1333" s="5" t="str">
        <f>IF($G1333="","",INDEX('EDS Lookup'!$B$6:$B$2819,$G1333))</f>
        <v/>
      </c>
      <c r="C1333" s="17"/>
      <c r="D1333" s="6"/>
      <c r="E1333" s="7" t="str">
        <f>IF($G1333="","",INDEX('EDS Lookup'!$F$6:$F$2819,$G1333))</f>
        <v/>
      </c>
      <c r="F1333" s="8" t="str">
        <f>IF($G1333="","",INDEX('EDS Lookup'!$G$6:$G$2819,$G1333))</f>
        <v/>
      </c>
      <c r="G1333" t="str">
        <f>IF(1310&lt;=$B$4,IFERROR(MATCH(1310,'EDS Lookup'!$H$6:$H$2819,0),""),"")</f>
        <v/>
      </c>
      <c r="H1333" t="str">
        <f t="shared" si="20"/>
        <v/>
      </c>
    </row>
    <row r="1334" spans="1:8" ht="19.95" customHeight="1">
      <c r="A1334" s="5" t="str">
        <f>IF($G1334="","",INDEX('EDS Lookup'!$D$6:$D$2819,$G1334))</f>
        <v/>
      </c>
      <c r="B1334" s="5" t="str">
        <f>IF($G1334="","",INDEX('EDS Lookup'!$B$6:$B$2819,$G1334))</f>
        <v/>
      </c>
      <c r="C1334" s="17"/>
      <c r="D1334" s="6"/>
      <c r="E1334" s="7" t="str">
        <f>IF($G1334="","",INDEX('EDS Lookup'!$F$6:$F$2819,$G1334))</f>
        <v/>
      </c>
      <c r="F1334" s="8" t="str">
        <f>IF($G1334="","",INDEX('EDS Lookup'!$G$6:$G$2819,$G1334))</f>
        <v/>
      </c>
      <c r="G1334" t="str">
        <f>IF(1311&lt;=$B$4,IFERROR(MATCH(1311,'EDS Lookup'!$H$6:$H$2819,0),""),"")</f>
        <v/>
      </c>
      <c r="H1334" t="str">
        <f t="shared" si="20"/>
        <v/>
      </c>
    </row>
    <row r="1335" spans="1:8" ht="19.95" customHeight="1">
      <c r="A1335" s="5" t="str">
        <f>IF($G1335="","",INDEX('EDS Lookup'!$D$6:$D$2819,$G1335))</f>
        <v/>
      </c>
      <c r="B1335" s="5" t="str">
        <f>IF($G1335="","",INDEX('EDS Lookup'!$B$6:$B$2819,$G1335))</f>
        <v/>
      </c>
      <c r="C1335" s="17"/>
      <c r="D1335" s="6"/>
      <c r="E1335" s="7" t="str">
        <f>IF($G1335="","",INDEX('EDS Lookup'!$F$6:$F$2819,$G1335))</f>
        <v/>
      </c>
      <c r="F1335" s="8" t="str">
        <f>IF($G1335="","",INDEX('EDS Lookup'!$G$6:$G$2819,$G1335))</f>
        <v/>
      </c>
      <c r="G1335" t="str">
        <f>IF(1312&lt;=$B$4,IFERROR(MATCH(1312,'EDS Lookup'!$H$6:$H$2819,0),""),"")</f>
        <v/>
      </c>
      <c r="H1335" t="str">
        <f t="shared" si="20"/>
        <v/>
      </c>
    </row>
    <row r="1336" spans="1:8" ht="19.95" customHeight="1">
      <c r="A1336" s="5" t="str">
        <f>IF($G1336="","",INDEX('EDS Lookup'!$D$6:$D$2819,$G1336))</f>
        <v/>
      </c>
      <c r="B1336" s="5" t="str">
        <f>IF($G1336="","",INDEX('EDS Lookup'!$B$6:$B$2819,$G1336))</f>
        <v/>
      </c>
      <c r="C1336" s="17"/>
      <c r="D1336" s="6"/>
      <c r="E1336" s="7" t="str">
        <f>IF($G1336="","",INDEX('EDS Lookup'!$F$6:$F$2819,$G1336))</f>
        <v/>
      </c>
      <c r="F1336" s="8" t="str">
        <f>IF($G1336="","",INDEX('EDS Lookup'!$G$6:$G$2819,$G1336))</f>
        <v/>
      </c>
      <c r="G1336" t="str">
        <f>IF(1313&lt;=$B$4,IFERROR(MATCH(1313,'EDS Lookup'!$H$6:$H$2819,0),""),"")</f>
        <v/>
      </c>
      <c r="H1336" t="str">
        <f t="shared" si="20"/>
        <v/>
      </c>
    </row>
    <row r="1337" spans="1:8" ht="19.95" customHeight="1">
      <c r="A1337" s="5" t="str">
        <f>IF($G1337="","",INDEX('EDS Lookup'!$D$6:$D$2819,$G1337))</f>
        <v/>
      </c>
      <c r="B1337" s="5" t="str">
        <f>IF($G1337="","",INDEX('EDS Lookup'!$B$6:$B$2819,$G1337))</f>
        <v/>
      </c>
      <c r="C1337" s="17"/>
      <c r="D1337" s="6"/>
      <c r="E1337" s="7" t="str">
        <f>IF($G1337="","",INDEX('EDS Lookup'!$F$6:$F$2819,$G1337))</f>
        <v/>
      </c>
      <c r="F1337" s="8" t="str">
        <f>IF($G1337="","",INDEX('EDS Lookup'!$G$6:$G$2819,$G1337))</f>
        <v/>
      </c>
      <c r="G1337" t="str">
        <f>IF(1314&lt;=$B$4,IFERROR(MATCH(1314,'EDS Lookup'!$H$6:$H$2819,0),""),"")</f>
        <v/>
      </c>
      <c r="H1337" t="str">
        <f t="shared" si="20"/>
        <v/>
      </c>
    </row>
    <row r="1338" spans="1:8" ht="19.95" customHeight="1">
      <c r="A1338" s="5" t="str">
        <f>IF($G1338="","",INDEX('EDS Lookup'!$D$6:$D$2819,$G1338))</f>
        <v/>
      </c>
      <c r="B1338" s="5" t="str">
        <f>IF($G1338="","",INDEX('EDS Lookup'!$B$6:$B$2819,$G1338))</f>
        <v/>
      </c>
      <c r="C1338" s="17"/>
      <c r="D1338" s="6"/>
      <c r="E1338" s="7" t="str">
        <f>IF($G1338="","",INDEX('EDS Lookup'!$F$6:$F$2819,$G1338))</f>
        <v/>
      </c>
      <c r="F1338" s="8" t="str">
        <f>IF($G1338="","",INDEX('EDS Lookup'!$G$6:$G$2819,$G1338))</f>
        <v/>
      </c>
      <c r="G1338" t="str">
        <f>IF(1315&lt;=$B$4,IFERROR(MATCH(1315,'EDS Lookup'!$H$6:$H$2819,0),""),"")</f>
        <v/>
      </c>
      <c r="H1338" t="str">
        <f t="shared" si="20"/>
        <v/>
      </c>
    </row>
    <row r="1339" spans="1:8" ht="19.95" customHeight="1">
      <c r="A1339" s="5" t="str">
        <f>IF($G1339="","",INDEX('EDS Lookup'!$D$6:$D$2819,$G1339))</f>
        <v/>
      </c>
      <c r="B1339" s="5" t="str">
        <f>IF($G1339="","",INDEX('EDS Lookup'!$B$6:$B$2819,$G1339))</f>
        <v/>
      </c>
      <c r="C1339" s="17"/>
      <c r="D1339" s="6"/>
      <c r="E1339" s="7" t="str">
        <f>IF($G1339="","",INDEX('EDS Lookup'!$F$6:$F$2819,$G1339))</f>
        <v/>
      </c>
      <c r="F1339" s="8" t="str">
        <f>IF($G1339="","",INDEX('EDS Lookup'!$G$6:$G$2819,$G1339))</f>
        <v/>
      </c>
      <c r="G1339" t="str">
        <f>IF(1316&lt;=$B$4,IFERROR(MATCH(1316,'EDS Lookup'!$H$6:$H$2819,0),""),"")</f>
        <v/>
      </c>
      <c r="H1339" t="str">
        <f t="shared" si="20"/>
        <v/>
      </c>
    </row>
    <row r="1340" spans="1:8" ht="19.95" customHeight="1">
      <c r="A1340" s="5" t="str">
        <f>IF($G1340="","",INDEX('EDS Lookup'!$D$6:$D$2819,$G1340))</f>
        <v/>
      </c>
      <c r="B1340" s="5" t="str">
        <f>IF($G1340="","",INDEX('EDS Lookup'!$B$6:$B$2819,$G1340))</f>
        <v/>
      </c>
      <c r="C1340" s="17"/>
      <c r="D1340" s="6"/>
      <c r="E1340" s="7" t="str">
        <f>IF($G1340="","",INDEX('EDS Lookup'!$F$6:$F$2819,$G1340))</f>
        <v/>
      </c>
      <c r="F1340" s="8" t="str">
        <f>IF($G1340="","",INDEX('EDS Lookup'!$G$6:$G$2819,$G1340))</f>
        <v/>
      </c>
      <c r="G1340" t="str">
        <f>IF(1317&lt;=$B$4,IFERROR(MATCH(1317,'EDS Lookup'!$H$6:$H$2819,0),""),"")</f>
        <v/>
      </c>
      <c r="H1340" t="str">
        <f t="shared" si="20"/>
        <v/>
      </c>
    </row>
    <row r="1341" spans="1:8" ht="19.95" customHeight="1">
      <c r="A1341" s="5" t="str">
        <f>IF($G1341="","",INDEX('EDS Lookup'!$D$6:$D$2819,$G1341))</f>
        <v/>
      </c>
      <c r="B1341" s="5" t="str">
        <f>IF($G1341="","",INDEX('EDS Lookup'!$B$6:$B$2819,$G1341))</f>
        <v/>
      </c>
      <c r="C1341" s="17"/>
      <c r="D1341" s="6"/>
      <c r="E1341" s="7" t="str">
        <f>IF($G1341="","",INDEX('EDS Lookup'!$F$6:$F$2819,$G1341))</f>
        <v/>
      </c>
      <c r="F1341" s="8" t="str">
        <f>IF($G1341="","",INDEX('EDS Lookup'!$G$6:$G$2819,$G1341))</f>
        <v/>
      </c>
      <c r="G1341" t="str">
        <f>IF(1318&lt;=$B$4,IFERROR(MATCH(1318,'EDS Lookup'!$H$6:$H$2819,0),""),"")</f>
        <v/>
      </c>
      <c r="H1341" t="str">
        <f t="shared" si="20"/>
        <v/>
      </c>
    </row>
    <row r="1342" spans="1:8" ht="19.95" customHeight="1">
      <c r="A1342" s="5" t="str">
        <f>IF($G1342="","",INDEX('EDS Lookup'!$D$6:$D$2819,$G1342))</f>
        <v/>
      </c>
      <c r="B1342" s="5" t="str">
        <f>IF($G1342="","",INDEX('EDS Lookup'!$B$6:$B$2819,$G1342))</f>
        <v/>
      </c>
      <c r="C1342" s="17"/>
      <c r="D1342" s="6"/>
      <c r="E1342" s="7" t="str">
        <f>IF($G1342="","",INDEX('EDS Lookup'!$F$6:$F$2819,$G1342))</f>
        <v/>
      </c>
      <c r="F1342" s="8" t="str">
        <f>IF($G1342="","",INDEX('EDS Lookup'!$G$6:$G$2819,$G1342))</f>
        <v/>
      </c>
      <c r="G1342" t="str">
        <f>IF(1319&lt;=$B$4,IFERROR(MATCH(1319,'EDS Lookup'!$H$6:$H$2819,0),""),"")</f>
        <v/>
      </c>
      <c r="H1342" t="str">
        <f t="shared" si="20"/>
        <v/>
      </c>
    </row>
    <row r="1343" spans="1:8" ht="19.95" customHeight="1">
      <c r="A1343" s="5" t="str">
        <f>IF($G1343="","",INDEX('EDS Lookup'!$D$6:$D$2819,$G1343))</f>
        <v/>
      </c>
      <c r="B1343" s="5" t="str">
        <f>IF($G1343="","",INDEX('EDS Lookup'!$B$6:$B$2819,$G1343))</f>
        <v/>
      </c>
      <c r="C1343" s="17"/>
      <c r="D1343" s="6"/>
      <c r="E1343" s="7" t="str">
        <f>IF($G1343="","",INDEX('EDS Lookup'!$F$6:$F$2819,$G1343))</f>
        <v/>
      </c>
      <c r="F1343" s="8" t="str">
        <f>IF($G1343="","",INDEX('EDS Lookup'!$G$6:$G$2819,$G1343))</f>
        <v/>
      </c>
      <c r="G1343" t="str">
        <f>IF(1320&lt;=$B$4,IFERROR(MATCH(1320,'EDS Lookup'!$H$6:$H$2819,0),""),"")</f>
        <v/>
      </c>
      <c r="H1343" t="str">
        <f t="shared" si="20"/>
        <v/>
      </c>
    </row>
    <row r="1344" spans="1:8" ht="19.95" customHeight="1">
      <c r="A1344" s="5" t="str">
        <f>IF($G1344="","",INDEX('EDS Lookup'!$D$6:$D$2819,$G1344))</f>
        <v/>
      </c>
      <c r="B1344" s="5" t="str">
        <f>IF($G1344="","",INDEX('EDS Lookup'!$B$6:$B$2819,$G1344))</f>
        <v/>
      </c>
      <c r="C1344" s="17"/>
      <c r="D1344" s="6"/>
      <c r="E1344" s="7" t="str">
        <f>IF($G1344="","",INDEX('EDS Lookup'!$F$6:$F$2819,$G1344))</f>
        <v/>
      </c>
      <c r="F1344" s="8" t="str">
        <f>IF($G1344="","",INDEX('EDS Lookup'!$G$6:$G$2819,$G1344))</f>
        <v/>
      </c>
      <c r="G1344" t="str">
        <f>IF(1321&lt;=$B$4,IFERROR(MATCH(1321,'EDS Lookup'!$H$6:$H$2819,0),""),"")</f>
        <v/>
      </c>
      <c r="H1344" t="str">
        <f t="shared" si="20"/>
        <v/>
      </c>
    </row>
    <row r="1345" spans="1:8" ht="19.95" customHeight="1">
      <c r="A1345" s="5" t="str">
        <f>IF($G1345="","",INDEX('EDS Lookup'!$D$6:$D$2819,$G1345))</f>
        <v/>
      </c>
      <c r="B1345" s="5" t="str">
        <f>IF($G1345="","",INDEX('EDS Lookup'!$B$6:$B$2819,$G1345))</f>
        <v/>
      </c>
      <c r="C1345" s="17"/>
      <c r="D1345" s="6"/>
      <c r="E1345" s="7" t="str">
        <f>IF($G1345="","",INDEX('EDS Lookup'!$F$6:$F$2819,$G1345))</f>
        <v/>
      </c>
      <c r="F1345" s="8" t="str">
        <f>IF($G1345="","",INDEX('EDS Lookup'!$G$6:$G$2819,$G1345))</f>
        <v/>
      </c>
      <c r="G1345" t="str">
        <f>IF(1322&lt;=$B$4,IFERROR(MATCH(1322,'EDS Lookup'!$H$6:$H$2819,0),""),"")</f>
        <v/>
      </c>
      <c r="H1345" t="str">
        <f t="shared" si="20"/>
        <v/>
      </c>
    </row>
    <row r="1346" spans="1:8" ht="19.95" customHeight="1">
      <c r="A1346" s="5" t="str">
        <f>IF($G1346="","",INDEX('EDS Lookup'!$D$6:$D$2819,$G1346))</f>
        <v/>
      </c>
      <c r="B1346" s="5" t="str">
        <f>IF($G1346="","",INDEX('EDS Lookup'!$B$6:$B$2819,$G1346))</f>
        <v/>
      </c>
      <c r="C1346" s="17"/>
      <c r="D1346" s="6"/>
      <c r="E1346" s="7" t="str">
        <f>IF($G1346="","",INDEX('EDS Lookup'!$F$6:$F$2819,$G1346))</f>
        <v/>
      </c>
      <c r="F1346" s="8" t="str">
        <f>IF($G1346="","",INDEX('EDS Lookup'!$G$6:$G$2819,$G1346))</f>
        <v/>
      </c>
      <c r="G1346" t="str">
        <f>IF(1323&lt;=$B$4,IFERROR(MATCH(1323,'EDS Lookup'!$H$6:$H$2819,0),""),"")</f>
        <v/>
      </c>
      <c r="H1346" t="str">
        <f t="shared" si="20"/>
        <v/>
      </c>
    </row>
    <row r="1347" spans="1:8" ht="19.95" customHeight="1">
      <c r="A1347" s="5" t="str">
        <f>IF($G1347="","",INDEX('EDS Lookup'!$D$6:$D$2819,$G1347))</f>
        <v/>
      </c>
      <c r="B1347" s="5" t="str">
        <f>IF($G1347="","",INDEX('EDS Lookup'!$B$6:$B$2819,$G1347))</f>
        <v/>
      </c>
      <c r="C1347" s="17"/>
      <c r="D1347" s="6"/>
      <c r="E1347" s="7" t="str">
        <f>IF($G1347="","",INDEX('EDS Lookup'!$F$6:$F$2819,$G1347))</f>
        <v/>
      </c>
      <c r="F1347" s="8" t="str">
        <f>IF($G1347="","",INDEX('EDS Lookup'!$G$6:$G$2819,$G1347))</f>
        <v/>
      </c>
      <c r="G1347" t="str">
        <f>IF(1324&lt;=$B$4,IFERROR(MATCH(1324,'EDS Lookup'!$H$6:$H$2819,0),""),"")</f>
        <v/>
      </c>
      <c r="H1347" t="str">
        <f t="shared" si="20"/>
        <v/>
      </c>
    </row>
    <row r="1348" spans="1:8" ht="19.95" customHeight="1">
      <c r="A1348" s="5" t="str">
        <f>IF($G1348="","",INDEX('EDS Lookup'!$D$6:$D$2819,$G1348))</f>
        <v/>
      </c>
      <c r="B1348" s="5" t="str">
        <f>IF($G1348="","",INDEX('EDS Lookup'!$B$6:$B$2819,$G1348))</f>
        <v/>
      </c>
      <c r="C1348" s="17"/>
      <c r="D1348" s="6"/>
      <c r="E1348" s="7" t="str">
        <f>IF($G1348="","",INDEX('EDS Lookup'!$F$6:$F$2819,$G1348))</f>
        <v/>
      </c>
      <c r="F1348" s="8" t="str">
        <f>IF($G1348="","",INDEX('EDS Lookup'!$G$6:$G$2819,$G1348))</f>
        <v/>
      </c>
      <c r="G1348" t="str">
        <f>IF(1325&lt;=$B$4,IFERROR(MATCH(1325,'EDS Lookup'!$H$6:$H$2819,0),""),"")</f>
        <v/>
      </c>
      <c r="H1348" t="str">
        <f t="shared" si="20"/>
        <v/>
      </c>
    </row>
    <row r="1349" spans="1:8" ht="19.95" customHeight="1">
      <c r="A1349" s="5" t="str">
        <f>IF($G1349="","",INDEX('EDS Lookup'!$D$6:$D$2819,$G1349))</f>
        <v/>
      </c>
      <c r="B1349" s="5" t="str">
        <f>IF($G1349="","",INDEX('EDS Lookup'!$B$6:$B$2819,$G1349))</f>
        <v/>
      </c>
      <c r="C1349" s="17"/>
      <c r="D1349" s="6"/>
      <c r="E1349" s="7" t="str">
        <f>IF($G1349="","",INDEX('EDS Lookup'!$F$6:$F$2819,$G1349))</f>
        <v/>
      </c>
      <c r="F1349" s="8" t="str">
        <f>IF($G1349="","",INDEX('EDS Lookup'!$G$6:$G$2819,$G1349))</f>
        <v/>
      </c>
      <c r="G1349" t="str">
        <f>IF(1326&lt;=$B$4,IFERROR(MATCH(1326,'EDS Lookup'!$H$6:$H$2819,0),""),"")</f>
        <v/>
      </c>
      <c r="H1349" t="str">
        <f t="shared" si="20"/>
        <v/>
      </c>
    </row>
    <row r="1350" spans="1:8" ht="19.95" customHeight="1">
      <c r="A1350" s="5" t="str">
        <f>IF($G1350="","",INDEX('EDS Lookup'!$D$6:$D$2819,$G1350))</f>
        <v/>
      </c>
      <c r="B1350" s="5" t="str">
        <f>IF($G1350="","",INDEX('EDS Lookup'!$B$6:$B$2819,$G1350))</f>
        <v/>
      </c>
      <c r="C1350" s="17"/>
      <c r="D1350" s="6"/>
      <c r="E1350" s="7" t="str">
        <f>IF($G1350="","",INDEX('EDS Lookup'!$F$6:$F$2819,$G1350))</f>
        <v/>
      </c>
      <c r="F1350" s="8" t="str">
        <f>IF($G1350="","",INDEX('EDS Lookup'!$G$6:$G$2819,$G1350))</f>
        <v/>
      </c>
      <c r="G1350" t="str">
        <f>IF(1327&lt;=$B$4,IFERROR(MATCH(1327,'EDS Lookup'!$H$6:$H$2819,0),""),"")</f>
        <v/>
      </c>
      <c r="H1350" t="str">
        <f t="shared" si="20"/>
        <v/>
      </c>
    </row>
    <row r="1351" spans="1:8" ht="19.95" customHeight="1">
      <c r="A1351" s="5" t="str">
        <f>IF($G1351="","",INDEX('EDS Lookup'!$D$6:$D$2819,$G1351))</f>
        <v/>
      </c>
      <c r="B1351" s="5" t="str">
        <f>IF($G1351="","",INDEX('EDS Lookup'!$B$6:$B$2819,$G1351))</f>
        <v/>
      </c>
      <c r="C1351" s="17"/>
      <c r="D1351" s="6"/>
      <c r="E1351" s="7" t="str">
        <f>IF($G1351="","",INDEX('EDS Lookup'!$F$6:$F$2819,$G1351))</f>
        <v/>
      </c>
      <c r="F1351" s="8" t="str">
        <f>IF($G1351="","",INDEX('EDS Lookup'!$G$6:$G$2819,$G1351))</f>
        <v/>
      </c>
      <c r="G1351" t="str">
        <f>IF(1328&lt;=$B$4,IFERROR(MATCH(1328,'EDS Lookup'!$H$6:$H$2819,0),""),"")</f>
        <v/>
      </c>
      <c r="H1351" t="str">
        <f t="shared" si="20"/>
        <v/>
      </c>
    </row>
    <row r="1352" spans="1:8" ht="19.95" customHeight="1">
      <c r="A1352" s="5" t="str">
        <f>IF($G1352="","",INDEX('EDS Lookup'!$D$6:$D$2819,$G1352))</f>
        <v/>
      </c>
      <c r="B1352" s="5" t="str">
        <f>IF($G1352="","",INDEX('EDS Lookup'!$B$6:$B$2819,$G1352))</f>
        <v/>
      </c>
      <c r="C1352" s="17"/>
      <c r="D1352" s="6"/>
      <c r="E1352" s="7" t="str">
        <f>IF($G1352="","",INDEX('EDS Lookup'!$F$6:$F$2819,$G1352))</f>
        <v/>
      </c>
      <c r="F1352" s="8" t="str">
        <f>IF($G1352="","",INDEX('EDS Lookup'!$G$6:$G$2819,$G1352))</f>
        <v/>
      </c>
      <c r="G1352" t="str">
        <f>IF(1329&lt;=$B$4,IFERROR(MATCH(1329,'EDS Lookup'!$H$6:$H$2819,0),""),"")</f>
        <v/>
      </c>
      <c r="H1352" t="str">
        <f t="shared" si="20"/>
        <v/>
      </c>
    </row>
    <row r="1353" spans="1:8" ht="19.95" customHeight="1">
      <c r="A1353" s="5" t="str">
        <f>IF($G1353="","",INDEX('EDS Lookup'!$D$6:$D$2819,$G1353))</f>
        <v/>
      </c>
      <c r="B1353" s="5" t="str">
        <f>IF($G1353="","",INDEX('EDS Lookup'!$B$6:$B$2819,$G1353))</f>
        <v/>
      </c>
      <c r="C1353" s="17"/>
      <c r="D1353" s="6"/>
      <c r="E1353" s="7" t="str">
        <f>IF($G1353="","",INDEX('EDS Lookup'!$F$6:$F$2819,$G1353))</f>
        <v/>
      </c>
      <c r="F1353" s="8" t="str">
        <f>IF($G1353="","",INDEX('EDS Lookup'!$G$6:$G$2819,$G1353))</f>
        <v/>
      </c>
      <c r="G1353" t="str">
        <f>IF(1330&lt;=$B$4,IFERROR(MATCH(1330,'EDS Lookup'!$H$6:$H$2819,0),""),"")</f>
        <v/>
      </c>
      <c r="H1353" t="str">
        <f t="shared" si="20"/>
        <v/>
      </c>
    </row>
    <row r="1354" spans="1:8" ht="19.95" customHeight="1">
      <c r="A1354" s="5" t="str">
        <f>IF($G1354="","",INDEX('EDS Lookup'!$D$6:$D$2819,$G1354))</f>
        <v/>
      </c>
      <c r="B1354" s="5" t="str">
        <f>IF($G1354="","",INDEX('EDS Lookup'!$B$6:$B$2819,$G1354))</f>
        <v/>
      </c>
      <c r="C1354" s="17"/>
      <c r="D1354" s="6"/>
      <c r="E1354" s="7" t="str">
        <f>IF($G1354="","",INDEX('EDS Lookup'!$F$6:$F$2819,$G1354))</f>
        <v/>
      </c>
      <c r="F1354" s="8" t="str">
        <f>IF($G1354="","",INDEX('EDS Lookup'!$G$6:$G$2819,$G1354))</f>
        <v/>
      </c>
      <c r="G1354" t="str">
        <f>IF(1331&lt;=$B$4,IFERROR(MATCH(1331,'EDS Lookup'!$H$6:$H$2819,0),""),"")</f>
        <v/>
      </c>
      <c r="H1354" t="str">
        <f t="shared" si="20"/>
        <v/>
      </c>
    </row>
    <row r="1355" spans="1:8" ht="19.95" customHeight="1">
      <c r="A1355" s="5" t="str">
        <f>IF($G1355="","",INDEX('EDS Lookup'!$D$6:$D$2819,$G1355))</f>
        <v/>
      </c>
      <c r="B1355" s="5" t="str">
        <f>IF($G1355="","",INDEX('EDS Lookup'!$B$6:$B$2819,$G1355))</f>
        <v/>
      </c>
      <c r="C1355" s="17"/>
      <c r="D1355" s="6"/>
      <c r="E1355" s="7" t="str">
        <f>IF($G1355="","",INDEX('EDS Lookup'!$F$6:$F$2819,$G1355))</f>
        <v/>
      </c>
      <c r="F1355" s="8" t="str">
        <f>IF($G1355="","",INDEX('EDS Lookup'!$G$6:$G$2819,$G1355))</f>
        <v/>
      </c>
      <c r="G1355" t="str">
        <f>IF(1332&lt;=$B$4,IFERROR(MATCH(1332,'EDS Lookup'!$H$6:$H$2819,0),""),"")</f>
        <v/>
      </c>
      <c r="H1355" t="str">
        <f t="shared" si="20"/>
        <v/>
      </c>
    </row>
    <row r="1356" spans="1:8" ht="19.95" customHeight="1">
      <c r="A1356" s="5" t="str">
        <f>IF($G1356="","",INDEX('EDS Lookup'!$D$6:$D$2819,$G1356))</f>
        <v/>
      </c>
      <c r="B1356" s="5" t="str">
        <f>IF($G1356="","",INDEX('EDS Lookup'!$B$6:$B$2819,$G1356))</f>
        <v/>
      </c>
      <c r="C1356" s="17"/>
      <c r="D1356" s="6"/>
      <c r="E1356" s="7" t="str">
        <f>IF($G1356="","",INDEX('EDS Lookup'!$F$6:$F$2819,$G1356))</f>
        <v/>
      </c>
      <c r="F1356" s="8" t="str">
        <f>IF($G1356="","",INDEX('EDS Lookup'!$G$6:$G$2819,$G1356))</f>
        <v/>
      </c>
      <c r="G1356" t="str">
        <f>IF(1333&lt;=$B$4,IFERROR(MATCH(1333,'EDS Lookup'!$H$6:$H$2819,0),""),"")</f>
        <v/>
      </c>
      <c r="H1356" t="str">
        <f t="shared" si="20"/>
        <v/>
      </c>
    </row>
    <row r="1357" spans="1:8" ht="19.95" customHeight="1">
      <c r="A1357" s="5" t="str">
        <f>IF($G1357="","",INDEX('EDS Lookup'!$D$6:$D$2819,$G1357))</f>
        <v/>
      </c>
      <c r="B1357" s="5" t="str">
        <f>IF($G1357="","",INDEX('EDS Lookup'!$B$6:$B$2819,$G1357))</f>
        <v/>
      </c>
      <c r="C1357" s="17"/>
      <c r="D1357" s="6"/>
      <c r="E1357" s="7" t="str">
        <f>IF($G1357="","",INDEX('EDS Lookup'!$F$6:$F$2819,$G1357))</f>
        <v/>
      </c>
      <c r="F1357" s="8" t="str">
        <f>IF($G1357="","",INDEX('EDS Lookup'!$G$6:$G$2819,$G1357))</f>
        <v/>
      </c>
      <c r="G1357" t="str">
        <f>IF(1334&lt;=$B$4,IFERROR(MATCH(1334,'EDS Lookup'!$H$6:$H$2819,0),""),"")</f>
        <v/>
      </c>
      <c r="H1357" t="str">
        <f t="shared" si="20"/>
        <v/>
      </c>
    </row>
    <row r="1358" spans="1:8" ht="19.95" customHeight="1">
      <c r="A1358" s="5" t="str">
        <f>IF($G1358="","",INDEX('EDS Lookup'!$D$6:$D$2819,$G1358))</f>
        <v/>
      </c>
      <c r="B1358" s="5" t="str">
        <f>IF($G1358="","",INDEX('EDS Lookup'!$B$6:$B$2819,$G1358))</f>
        <v/>
      </c>
      <c r="C1358" s="17"/>
      <c r="D1358" s="6"/>
      <c r="E1358" s="7" t="str">
        <f>IF($G1358="","",INDEX('EDS Lookup'!$F$6:$F$2819,$G1358))</f>
        <v/>
      </c>
      <c r="F1358" s="8" t="str">
        <f>IF($G1358="","",INDEX('EDS Lookup'!$G$6:$G$2819,$G1358))</f>
        <v/>
      </c>
      <c r="G1358" t="str">
        <f>IF(1335&lt;=$B$4,IFERROR(MATCH(1335,'EDS Lookup'!$H$6:$H$2819,0),""),"")</f>
        <v/>
      </c>
      <c r="H1358" t="str">
        <f t="shared" si="20"/>
        <v/>
      </c>
    </row>
    <row r="1359" spans="1:8" ht="19.95" customHeight="1">
      <c r="A1359" s="5" t="str">
        <f>IF($G1359="","",INDEX('EDS Lookup'!$D$6:$D$2819,$G1359))</f>
        <v/>
      </c>
      <c r="B1359" s="5" t="str">
        <f>IF($G1359="","",INDEX('EDS Lookup'!$B$6:$B$2819,$G1359))</f>
        <v/>
      </c>
      <c r="C1359" s="17"/>
      <c r="D1359" s="6"/>
      <c r="E1359" s="7" t="str">
        <f>IF($G1359="","",INDEX('EDS Lookup'!$F$6:$F$2819,$G1359))</f>
        <v/>
      </c>
      <c r="F1359" s="8" t="str">
        <f>IF($G1359="","",INDEX('EDS Lookup'!$G$6:$G$2819,$G1359))</f>
        <v/>
      </c>
      <c r="G1359" t="str">
        <f>IF(1336&lt;=$B$4,IFERROR(MATCH(1336,'EDS Lookup'!$H$6:$H$2819,0),""),"")</f>
        <v/>
      </c>
      <c r="H1359" t="str">
        <f t="shared" si="20"/>
        <v/>
      </c>
    </row>
    <row r="1360" spans="1:8" ht="19.95" customHeight="1">
      <c r="A1360" s="5" t="str">
        <f>IF($G1360="","",INDEX('EDS Lookup'!$D$6:$D$2819,$G1360))</f>
        <v/>
      </c>
      <c r="B1360" s="5" t="str">
        <f>IF($G1360="","",INDEX('EDS Lookup'!$B$6:$B$2819,$G1360))</f>
        <v/>
      </c>
      <c r="C1360" s="17"/>
      <c r="D1360" s="6"/>
      <c r="E1360" s="7" t="str">
        <f>IF($G1360="","",INDEX('EDS Lookup'!$F$6:$F$2819,$G1360))</f>
        <v/>
      </c>
      <c r="F1360" s="8" t="str">
        <f>IF($G1360="","",INDEX('EDS Lookup'!$G$6:$G$2819,$G1360))</f>
        <v/>
      </c>
      <c r="G1360" t="str">
        <f>IF(1337&lt;=$B$4,IFERROR(MATCH(1337,'EDS Lookup'!$H$6:$H$2819,0),""),"")</f>
        <v/>
      </c>
      <c r="H1360" t="str">
        <f t="shared" si="20"/>
        <v/>
      </c>
    </row>
    <row r="1361" spans="1:8" ht="19.95" customHeight="1">
      <c r="A1361" s="5" t="str">
        <f>IF($G1361="","",INDEX('EDS Lookup'!$D$6:$D$2819,$G1361))</f>
        <v/>
      </c>
      <c r="B1361" s="5" t="str">
        <f>IF($G1361="","",INDEX('EDS Lookup'!$B$6:$B$2819,$G1361))</f>
        <v/>
      </c>
      <c r="C1361" s="17"/>
      <c r="D1361" s="6"/>
      <c r="E1361" s="7" t="str">
        <f>IF($G1361="","",INDEX('EDS Lookup'!$F$6:$F$2819,$G1361))</f>
        <v/>
      </c>
      <c r="F1361" s="8" t="str">
        <f>IF($G1361="","",INDEX('EDS Lookup'!$G$6:$G$2819,$G1361))</f>
        <v/>
      </c>
      <c r="G1361" t="str">
        <f>IF(1338&lt;=$B$4,IFERROR(MATCH(1338,'EDS Lookup'!$H$6:$H$2819,0),""),"")</f>
        <v/>
      </c>
      <c r="H1361" t="str">
        <f t="shared" si="20"/>
        <v/>
      </c>
    </row>
    <row r="1362" spans="1:8" ht="19.95" customHeight="1">
      <c r="A1362" s="5" t="str">
        <f>IF($G1362="","",INDEX('EDS Lookup'!$D$6:$D$2819,$G1362))</f>
        <v/>
      </c>
      <c r="B1362" s="5" t="str">
        <f>IF($G1362="","",INDEX('EDS Lookup'!$B$6:$B$2819,$G1362))</f>
        <v/>
      </c>
      <c r="C1362" s="17"/>
      <c r="D1362" s="6"/>
      <c r="E1362" s="7" t="str">
        <f>IF($G1362="","",INDEX('EDS Lookup'!$F$6:$F$2819,$G1362))</f>
        <v/>
      </c>
      <c r="F1362" s="8" t="str">
        <f>IF($G1362="","",INDEX('EDS Lookup'!$G$6:$G$2819,$G1362))</f>
        <v/>
      </c>
      <c r="G1362" t="str">
        <f>IF(1339&lt;=$B$4,IFERROR(MATCH(1339,'EDS Lookup'!$H$6:$H$2819,0),""),"")</f>
        <v/>
      </c>
      <c r="H1362" t="str">
        <f t="shared" si="20"/>
        <v/>
      </c>
    </row>
    <row r="1363" spans="1:8" ht="19.95" customHeight="1">
      <c r="A1363" s="5" t="str">
        <f>IF($G1363="","",INDEX('EDS Lookup'!$D$6:$D$2819,$G1363))</f>
        <v/>
      </c>
      <c r="B1363" s="5" t="str">
        <f>IF($G1363="","",INDEX('EDS Lookup'!$B$6:$B$2819,$G1363))</f>
        <v/>
      </c>
      <c r="C1363" s="17"/>
      <c r="D1363" s="6"/>
      <c r="E1363" s="7" t="str">
        <f>IF($G1363="","",INDEX('EDS Lookup'!$F$6:$F$2819,$G1363))</f>
        <v/>
      </c>
      <c r="F1363" s="8" t="str">
        <f>IF($G1363="","",INDEX('EDS Lookup'!$G$6:$G$2819,$G1363))</f>
        <v/>
      </c>
      <c r="G1363" t="str">
        <f>IF(1340&lt;=$B$4,IFERROR(MATCH(1340,'EDS Lookup'!$H$6:$H$2819,0),""),"")</f>
        <v/>
      </c>
      <c r="H1363" t="str">
        <f t="shared" si="20"/>
        <v/>
      </c>
    </row>
    <row r="1364" spans="1:8" ht="19.95" customHeight="1">
      <c r="A1364" s="5" t="str">
        <f>IF($G1364="","",INDEX('EDS Lookup'!$D$6:$D$2819,$G1364))</f>
        <v/>
      </c>
      <c r="B1364" s="5" t="str">
        <f>IF($G1364="","",INDEX('EDS Lookup'!$B$6:$B$2819,$G1364))</f>
        <v/>
      </c>
      <c r="C1364" s="17"/>
      <c r="D1364" s="6"/>
      <c r="E1364" s="7" t="str">
        <f>IF($G1364="","",INDEX('EDS Lookup'!$F$6:$F$2819,$G1364))</f>
        <v/>
      </c>
      <c r="F1364" s="8" t="str">
        <f>IF($G1364="","",INDEX('EDS Lookup'!$G$6:$G$2819,$G1364))</f>
        <v/>
      </c>
      <c r="G1364" t="str">
        <f>IF(1341&lt;=$B$4,IFERROR(MATCH(1341,'EDS Lookup'!$H$6:$H$2819,0),""),"")</f>
        <v/>
      </c>
      <c r="H1364" t="str">
        <f t="shared" si="20"/>
        <v/>
      </c>
    </row>
    <row r="1365" spans="1:8" ht="19.95" customHeight="1">
      <c r="A1365" s="5" t="str">
        <f>IF($G1365="","",INDEX('EDS Lookup'!$D$6:$D$2819,$G1365))</f>
        <v/>
      </c>
      <c r="B1365" s="5" t="str">
        <f>IF($G1365="","",INDEX('EDS Lookup'!$B$6:$B$2819,$G1365))</f>
        <v/>
      </c>
      <c r="C1365" s="17"/>
      <c r="D1365" s="6"/>
      <c r="E1365" s="7" t="str">
        <f>IF($G1365="","",INDEX('EDS Lookup'!$F$6:$F$2819,$G1365))</f>
        <v/>
      </c>
      <c r="F1365" s="8" t="str">
        <f>IF($G1365="","",INDEX('EDS Lookup'!$G$6:$G$2819,$G1365))</f>
        <v/>
      </c>
      <c r="G1365" t="str">
        <f>IF(1342&lt;=$B$4,IFERROR(MATCH(1342,'EDS Lookup'!$H$6:$H$2819,0),""),"")</f>
        <v/>
      </c>
      <c r="H1365" t="str">
        <f t="shared" si="20"/>
        <v/>
      </c>
    </row>
    <row r="1366" spans="1:8" ht="19.95" customHeight="1">
      <c r="A1366" s="5" t="str">
        <f>IF($G1366="","",INDEX('EDS Lookup'!$D$6:$D$2819,$G1366))</f>
        <v/>
      </c>
      <c r="B1366" s="5" t="str">
        <f>IF($G1366="","",INDEX('EDS Lookup'!$B$6:$B$2819,$G1366))</f>
        <v/>
      </c>
      <c r="C1366" s="17"/>
      <c r="D1366" s="6"/>
      <c r="E1366" s="7" t="str">
        <f>IF($G1366="","",INDEX('EDS Lookup'!$F$6:$F$2819,$G1366))</f>
        <v/>
      </c>
      <c r="F1366" s="8" t="str">
        <f>IF($G1366="","",INDEX('EDS Lookup'!$G$6:$G$2819,$G1366))</f>
        <v/>
      </c>
      <c r="G1366" t="str">
        <f>IF(1343&lt;=$B$4,IFERROR(MATCH(1343,'EDS Lookup'!$H$6:$H$2819,0),""),"")</f>
        <v/>
      </c>
      <c r="H1366" t="str">
        <f t="shared" si="20"/>
        <v/>
      </c>
    </row>
    <row r="1367" spans="1:8" ht="19.95" customHeight="1">
      <c r="A1367" s="5" t="str">
        <f>IF($G1367="","",INDEX('EDS Lookup'!$D$6:$D$2819,$G1367))</f>
        <v/>
      </c>
      <c r="B1367" s="5" t="str">
        <f>IF($G1367="","",INDEX('EDS Lookup'!$B$6:$B$2819,$G1367))</f>
        <v/>
      </c>
      <c r="C1367" s="17"/>
      <c r="D1367" s="6"/>
      <c r="E1367" s="7" t="str">
        <f>IF($G1367="","",INDEX('EDS Lookup'!$F$6:$F$2819,$G1367))</f>
        <v/>
      </c>
      <c r="F1367" s="8" t="str">
        <f>IF($G1367="","",INDEX('EDS Lookup'!$G$6:$G$2819,$G1367))</f>
        <v/>
      </c>
      <c r="G1367" t="str">
        <f>IF(1344&lt;=$B$4,IFERROR(MATCH(1344,'EDS Lookup'!$H$6:$H$2819,0),""),"")</f>
        <v/>
      </c>
      <c r="H1367" t="str">
        <f t="shared" si="20"/>
        <v/>
      </c>
    </row>
    <row r="1368" spans="1:8" ht="19.95" customHeight="1">
      <c r="A1368" s="5" t="str">
        <f>IF($G1368="","",INDEX('EDS Lookup'!$D$6:$D$2819,$G1368))</f>
        <v/>
      </c>
      <c r="B1368" s="5" t="str">
        <f>IF($G1368="","",INDEX('EDS Lookup'!$B$6:$B$2819,$G1368))</f>
        <v/>
      </c>
      <c r="C1368" s="17"/>
      <c r="D1368" s="6"/>
      <c r="E1368" s="7" t="str">
        <f>IF($G1368="","",INDEX('EDS Lookup'!$F$6:$F$2819,$G1368))</f>
        <v/>
      </c>
      <c r="F1368" s="8" t="str">
        <f>IF($G1368="","",INDEX('EDS Lookup'!$G$6:$G$2819,$G1368))</f>
        <v/>
      </c>
      <c r="G1368" t="str">
        <f>IF(1345&lt;=$B$4,IFERROR(MATCH(1345,'EDS Lookup'!$H$6:$H$2819,0),""),"")</f>
        <v/>
      </c>
      <c r="H1368" t="str">
        <f t="shared" ref="H1368:H1431" si="21">IF(F1368="&lt;5",5,IF(F1368="&gt;95",95,IF(ISNUMBER(F1368),F1368,"")))</f>
        <v/>
      </c>
    </row>
    <row r="1369" spans="1:8" ht="19.95" customHeight="1">
      <c r="A1369" s="5" t="str">
        <f>IF($G1369="","",INDEX('EDS Lookup'!$D$6:$D$2819,$G1369))</f>
        <v/>
      </c>
      <c r="B1369" s="5" t="str">
        <f>IF($G1369="","",INDEX('EDS Lookup'!$B$6:$B$2819,$G1369))</f>
        <v/>
      </c>
      <c r="C1369" s="17"/>
      <c r="D1369" s="6"/>
      <c r="E1369" s="7" t="str">
        <f>IF($G1369="","",INDEX('EDS Lookup'!$F$6:$F$2819,$G1369))</f>
        <v/>
      </c>
      <c r="F1369" s="8" t="str">
        <f>IF($G1369="","",INDEX('EDS Lookup'!$G$6:$G$2819,$G1369))</f>
        <v/>
      </c>
      <c r="G1369" t="str">
        <f>IF(1346&lt;=$B$4,IFERROR(MATCH(1346,'EDS Lookup'!$H$6:$H$2819,0),""),"")</f>
        <v/>
      </c>
      <c r="H1369" t="str">
        <f t="shared" si="21"/>
        <v/>
      </c>
    </row>
    <row r="1370" spans="1:8" ht="19.95" customHeight="1">
      <c r="A1370" s="5" t="str">
        <f>IF($G1370="","",INDEX('EDS Lookup'!$D$6:$D$2819,$G1370))</f>
        <v/>
      </c>
      <c r="B1370" s="5" t="str">
        <f>IF($G1370="","",INDEX('EDS Lookup'!$B$6:$B$2819,$G1370))</f>
        <v/>
      </c>
      <c r="C1370" s="17"/>
      <c r="D1370" s="6"/>
      <c r="E1370" s="7" t="str">
        <f>IF($G1370="","",INDEX('EDS Lookup'!$F$6:$F$2819,$G1370))</f>
        <v/>
      </c>
      <c r="F1370" s="8" t="str">
        <f>IF($G1370="","",INDEX('EDS Lookup'!$G$6:$G$2819,$G1370))</f>
        <v/>
      </c>
      <c r="G1370" t="str">
        <f>IF(1347&lt;=$B$4,IFERROR(MATCH(1347,'EDS Lookup'!$H$6:$H$2819,0),""),"")</f>
        <v/>
      </c>
      <c r="H1370" t="str">
        <f t="shared" si="21"/>
        <v/>
      </c>
    </row>
    <row r="1371" spans="1:8" ht="19.95" customHeight="1">
      <c r="A1371" s="5" t="str">
        <f>IF($G1371="","",INDEX('EDS Lookup'!$D$6:$D$2819,$G1371))</f>
        <v/>
      </c>
      <c r="B1371" s="5" t="str">
        <f>IF($G1371="","",INDEX('EDS Lookup'!$B$6:$B$2819,$G1371))</f>
        <v/>
      </c>
      <c r="C1371" s="17"/>
      <c r="D1371" s="6"/>
      <c r="E1371" s="7" t="str">
        <f>IF($G1371="","",INDEX('EDS Lookup'!$F$6:$F$2819,$G1371))</f>
        <v/>
      </c>
      <c r="F1371" s="8" t="str">
        <f>IF($G1371="","",INDEX('EDS Lookup'!$G$6:$G$2819,$G1371))</f>
        <v/>
      </c>
      <c r="G1371" t="str">
        <f>IF(1348&lt;=$B$4,IFERROR(MATCH(1348,'EDS Lookup'!$H$6:$H$2819,0),""),"")</f>
        <v/>
      </c>
      <c r="H1371" t="str">
        <f t="shared" si="21"/>
        <v/>
      </c>
    </row>
    <row r="1372" spans="1:8" ht="19.95" customHeight="1">
      <c r="A1372" s="5" t="str">
        <f>IF($G1372="","",INDEX('EDS Lookup'!$D$6:$D$2819,$G1372))</f>
        <v/>
      </c>
      <c r="B1372" s="5" t="str">
        <f>IF($G1372="","",INDEX('EDS Lookup'!$B$6:$B$2819,$G1372))</f>
        <v/>
      </c>
      <c r="C1372" s="17"/>
      <c r="D1372" s="6"/>
      <c r="E1372" s="7" t="str">
        <f>IF($G1372="","",INDEX('EDS Lookup'!$F$6:$F$2819,$G1372))</f>
        <v/>
      </c>
      <c r="F1372" s="8" t="str">
        <f>IF($G1372="","",INDEX('EDS Lookup'!$G$6:$G$2819,$G1372))</f>
        <v/>
      </c>
      <c r="G1372" t="str">
        <f>IF(1349&lt;=$B$4,IFERROR(MATCH(1349,'EDS Lookup'!$H$6:$H$2819,0),""),"")</f>
        <v/>
      </c>
      <c r="H1372" t="str">
        <f t="shared" si="21"/>
        <v/>
      </c>
    </row>
    <row r="1373" spans="1:8" ht="19.95" customHeight="1">
      <c r="A1373" s="5" t="str">
        <f>IF($G1373="","",INDEX('EDS Lookup'!$D$6:$D$2819,$G1373))</f>
        <v/>
      </c>
      <c r="B1373" s="5" t="str">
        <f>IF($G1373="","",INDEX('EDS Lookup'!$B$6:$B$2819,$G1373))</f>
        <v/>
      </c>
      <c r="C1373" s="17"/>
      <c r="D1373" s="6"/>
      <c r="E1373" s="7" t="str">
        <f>IF($G1373="","",INDEX('EDS Lookup'!$F$6:$F$2819,$G1373))</f>
        <v/>
      </c>
      <c r="F1373" s="8" t="str">
        <f>IF($G1373="","",INDEX('EDS Lookup'!$G$6:$G$2819,$G1373))</f>
        <v/>
      </c>
      <c r="G1373" t="str">
        <f>IF(1350&lt;=$B$4,IFERROR(MATCH(1350,'EDS Lookup'!$H$6:$H$2819,0),""),"")</f>
        <v/>
      </c>
      <c r="H1373" t="str">
        <f t="shared" si="21"/>
        <v/>
      </c>
    </row>
    <row r="1374" spans="1:8" ht="19.95" customHeight="1">
      <c r="A1374" s="5" t="str">
        <f>IF($G1374="","",INDEX('EDS Lookup'!$D$6:$D$2819,$G1374))</f>
        <v/>
      </c>
      <c r="B1374" s="5" t="str">
        <f>IF($G1374="","",INDEX('EDS Lookup'!$B$6:$B$2819,$G1374))</f>
        <v/>
      </c>
      <c r="C1374" s="17"/>
      <c r="D1374" s="6"/>
      <c r="E1374" s="7" t="str">
        <f>IF($G1374="","",INDEX('EDS Lookup'!$F$6:$F$2819,$G1374))</f>
        <v/>
      </c>
      <c r="F1374" s="8" t="str">
        <f>IF($G1374="","",INDEX('EDS Lookup'!$G$6:$G$2819,$G1374))</f>
        <v/>
      </c>
      <c r="G1374" t="str">
        <f>IF(1351&lt;=$B$4,IFERROR(MATCH(1351,'EDS Lookup'!$H$6:$H$2819,0),""),"")</f>
        <v/>
      </c>
      <c r="H1374" t="str">
        <f t="shared" si="21"/>
        <v/>
      </c>
    </row>
    <row r="1375" spans="1:8" ht="19.95" customHeight="1">
      <c r="A1375" s="5" t="str">
        <f>IF($G1375="","",INDEX('EDS Lookup'!$D$6:$D$2819,$G1375))</f>
        <v/>
      </c>
      <c r="B1375" s="5" t="str">
        <f>IF($G1375="","",INDEX('EDS Lookup'!$B$6:$B$2819,$G1375))</f>
        <v/>
      </c>
      <c r="C1375" s="17"/>
      <c r="D1375" s="6"/>
      <c r="E1375" s="7" t="str">
        <f>IF($G1375="","",INDEX('EDS Lookup'!$F$6:$F$2819,$G1375))</f>
        <v/>
      </c>
      <c r="F1375" s="8" t="str">
        <f>IF($G1375="","",INDEX('EDS Lookup'!$G$6:$G$2819,$G1375))</f>
        <v/>
      </c>
      <c r="G1375" t="str">
        <f>IF(1352&lt;=$B$4,IFERROR(MATCH(1352,'EDS Lookup'!$H$6:$H$2819,0),""),"")</f>
        <v/>
      </c>
      <c r="H1375" t="str">
        <f t="shared" si="21"/>
        <v/>
      </c>
    </row>
    <row r="1376" spans="1:8" ht="19.95" customHeight="1">
      <c r="A1376" s="5" t="str">
        <f>IF($G1376="","",INDEX('EDS Lookup'!$D$6:$D$2819,$G1376))</f>
        <v/>
      </c>
      <c r="B1376" s="5" t="str">
        <f>IF($G1376="","",INDEX('EDS Lookup'!$B$6:$B$2819,$G1376))</f>
        <v/>
      </c>
      <c r="C1376" s="17"/>
      <c r="D1376" s="6"/>
      <c r="E1376" s="7" t="str">
        <f>IF($G1376="","",INDEX('EDS Lookup'!$F$6:$F$2819,$G1376))</f>
        <v/>
      </c>
      <c r="F1376" s="8" t="str">
        <f>IF($G1376="","",INDEX('EDS Lookup'!$G$6:$G$2819,$G1376))</f>
        <v/>
      </c>
      <c r="G1376" t="str">
        <f>IF(1353&lt;=$B$4,IFERROR(MATCH(1353,'EDS Lookup'!$H$6:$H$2819,0),""),"")</f>
        <v/>
      </c>
      <c r="H1376" t="str">
        <f t="shared" si="21"/>
        <v/>
      </c>
    </row>
    <row r="1377" spans="1:8" ht="19.95" customHeight="1">
      <c r="A1377" s="5" t="str">
        <f>IF($G1377="","",INDEX('EDS Lookup'!$D$6:$D$2819,$G1377))</f>
        <v/>
      </c>
      <c r="B1377" s="5" t="str">
        <f>IF($G1377="","",INDEX('EDS Lookup'!$B$6:$B$2819,$G1377))</f>
        <v/>
      </c>
      <c r="C1377" s="17"/>
      <c r="D1377" s="6"/>
      <c r="E1377" s="7" t="str">
        <f>IF($G1377="","",INDEX('EDS Lookup'!$F$6:$F$2819,$G1377))</f>
        <v/>
      </c>
      <c r="F1377" s="8" t="str">
        <f>IF($G1377="","",INDEX('EDS Lookup'!$G$6:$G$2819,$G1377))</f>
        <v/>
      </c>
      <c r="G1377" t="str">
        <f>IF(1354&lt;=$B$4,IFERROR(MATCH(1354,'EDS Lookup'!$H$6:$H$2819,0),""),"")</f>
        <v/>
      </c>
      <c r="H1377" t="str">
        <f t="shared" si="21"/>
        <v/>
      </c>
    </row>
    <row r="1378" spans="1:8" ht="19.95" customHeight="1">
      <c r="A1378" s="5" t="str">
        <f>IF($G1378="","",INDEX('EDS Lookup'!$D$6:$D$2819,$G1378))</f>
        <v/>
      </c>
      <c r="B1378" s="5" t="str">
        <f>IF($G1378="","",INDEX('EDS Lookup'!$B$6:$B$2819,$G1378))</f>
        <v/>
      </c>
      <c r="C1378" s="17"/>
      <c r="D1378" s="6"/>
      <c r="E1378" s="7" t="str">
        <f>IF($G1378="","",INDEX('EDS Lookup'!$F$6:$F$2819,$G1378))</f>
        <v/>
      </c>
      <c r="F1378" s="8" t="str">
        <f>IF($G1378="","",INDEX('EDS Lookup'!$G$6:$G$2819,$G1378))</f>
        <v/>
      </c>
      <c r="G1378" t="str">
        <f>IF(1355&lt;=$B$4,IFERROR(MATCH(1355,'EDS Lookup'!$H$6:$H$2819,0),""),"")</f>
        <v/>
      </c>
      <c r="H1378" t="str">
        <f t="shared" si="21"/>
        <v/>
      </c>
    </row>
    <row r="1379" spans="1:8" ht="19.95" customHeight="1">
      <c r="A1379" s="5" t="str">
        <f>IF($G1379="","",INDEX('EDS Lookup'!$D$6:$D$2819,$G1379))</f>
        <v/>
      </c>
      <c r="B1379" s="5" t="str">
        <f>IF($G1379="","",INDEX('EDS Lookup'!$B$6:$B$2819,$G1379))</f>
        <v/>
      </c>
      <c r="C1379" s="17"/>
      <c r="D1379" s="6"/>
      <c r="E1379" s="7" t="str">
        <f>IF($G1379="","",INDEX('EDS Lookup'!$F$6:$F$2819,$G1379))</f>
        <v/>
      </c>
      <c r="F1379" s="8" t="str">
        <f>IF($G1379="","",INDEX('EDS Lookup'!$G$6:$G$2819,$G1379))</f>
        <v/>
      </c>
      <c r="G1379" t="str">
        <f>IF(1356&lt;=$B$4,IFERROR(MATCH(1356,'EDS Lookup'!$H$6:$H$2819,0),""),"")</f>
        <v/>
      </c>
      <c r="H1379" t="str">
        <f t="shared" si="21"/>
        <v/>
      </c>
    </row>
    <row r="1380" spans="1:8" ht="19.95" customHeight="1">
      <c r="A1380" s="5" t="str">
        <f>IF($G1380="","",INDEX('EDS Lookup'!$D$6:$D$2819,$G1380))</f>
        <v/>
      </c>
      <c r="B1380" s="5" t="str">
        <f>IF($G1380="","",INDEX('EDS Lookup'!$B$6:$B$2819,$G1380))</f>
        <v/>
      </c>
      <c r="C1380" s="17"/>
      <c r="D1380" s="6"/>
      <c r="E1380" s="7" t="str">
        <f>IF($G1380="","",INDEX('EDS Lookup'!$F$6:$F$2819,$G1380))</f>
        <v/>
      </c>
      <c r="F1380" s="8" t="str">
        <f>IF($G1380="","",INDEX('EDS Lookup'!$G$6:$G$2819,$G1380))</f>
        <v/>
      </c>
      <c r="G1380" t="str">
        <f>IF(1357&lt;=$B$4,IFERROR(MATCH(1357,'EDS Lookup'!$H$6:$H$2819,0),""),"")</f>
        <v/>
      </c>
      <c r="H1380" t="str">
        <f t="shared" si="21"/>
        <v/>
      </c>
    </row>
    <row r="1381" spans="1:8" ht="19.95" customHeight="1">
      <c r="A1381" s="5" t="str">
        <f>IF($G1381="","",INDEX('EDS Lookup'!$D$6:$D$2819,$G1381))</f>
        <v/>
      </c>
      <c r="B1381" s="5" t="str">
        <f>IF($G1381="","",INDEX('EDS Lookup'!$B$6:$B$2819,$G1381))</f>
        <v/>
      </c>
      <c r="C1381" s="17"/>
      <c r="D1381" s="6"/>
      <c r="E1381" s="7" t="str">
        <f>IF($G1381="","",INDEX('EDS Lookup'!$F$6:$F$2819,$G1381))</f>
        <v/>
      </c>
      <c r="F1381" s="8" t="str">
        <f>IF($G1381="","",INDEX('EDS Lookup'!$G$6:$G$2819,$G1381))</f>
        <v/>
      </c>
      <c r="G1381" t="str">
        <f>IF(1358&lt;=$B$4,IFERROR(MATCH(1358,'EDS Lookup'!$H$6:$H$2819,0),""),"")</f>
        <v/>
      </c>
      <c r="H1381" t="str">
        <f t="shared" si="21"/>
        <v/>
      </c>
    </row>
    <row r="1382" spans="1:8" ht="19.95" customHeight="1">
      <c r="A1382" s="5" t="str">
        <f>IF($G1382="","",INDEX('EDS Lookup'!$D$6:$D$2819,$G1382))</f>
        <v/>
      </c>
      <c r="B1382" s="5" t="str">
        <f>IF($G1382="","",INDEX('EDS Lookup'!$B$6:$B$2819,$G1382))</f>
        <v/>
      </c>
      <c r="C1382" s="17"/>
      <c r="D1382" s="6"/>
      <c r="E1382" s="7" t="str">
        <f>IF($G1382="","",INDEX('EDS Lookup'!$F$6:$F$2819,$G1382))</f>
        <v/>
      </c>
      <c r="F1382" s="8" t="str">
        <f>IF($G1382="","",INDEX('EDS Lookup'!$G$6:$G$2819,$G1382))</f>
        <v/>
      </c>
      <c r="G1382" t="str">
        <f>IF(1359&lt;=$B$4,IFERROR(MATCH(1359,'EDS Lookup'!$H$6:$H$2819,0),""),"")</f>
        <v/>
      </c>
      <c r="H1382" t="str">
        <f t="shared" si="21"/>
        <v/>
      </c>
    </row>
    <row r="1383" spans="1:8" ht="19.95" customHeight="1">
      <c r="A1383" s="5" t="str">
        <f>IF($G1383="","",INDEX('EDS Lookup'!$D$6:$D$2819,$G1383))</f>
        <v/>
      </c>
      <c r="B1383" s="5" t="str">
        <f>IF($G1383="","",INDEX('EDS Lookup'!$B$6:$B$2819,$G1383))</f>
        <v/>
      </c>
      <c r="C1383" s="17"/>
      <c r="D1383" s="6"/>
      <c r="E1383" s="7" t="str">
        <f>IF($G1383="","",INDEX('EDS Lookup'!$F$6:$F$2819,$G1383))</f>
        <v/>
      </c>
      <c r="F1383" s="8" t="str">
        <f>IF($G1383="","",INDEX('EDS Lookup'!$G$6:$G$2819,$G1383))</f>
        <v/>
      </c>
      <c r="G1383" t="str">
        <f>IF(1360&lt;=$B$4,IFERROR(MATCH(1360,'EDS Lookup'!$H$6:$H$2819,0),""),"")</f>
        <v/>
      </c>
      <c r="H1383" t="str">
        <f t="shared" si="21"/>
        <v/>
      </c>
    </row>
    <row r="1384" spans="1:8" ht="19.95" customHeight="1">
      <c r="A1384" s="5" t="str">
        <f>IF($G1384="","",INDEX('EDS Lookup'!$D$6:$D$2819,$G1384))</f>
        <v/>
      </c>
      <c r="B1384" s="5" t="str">
        <f>IF($G1384="","",INDEX('EDS Lookup'!$B$6:$B$2819,$G1384))</f>
        <v/>
      </c>
      <c r="C1384" s="17"/>
      <c r="D1384" s="6"/>
      <c r="E1384" s="7" t="str">
        <f>IF($G1384="","",INDEX('EDS Lookup'!$F$6:$F$2819,$G1384))</f>
        <v/>
      </c>
      <c r="F1384" s="8" t="str">
        <f>IF($G1384="","",INDEX('EDS Lookup'!$G$6:$G$2819,$G1384))</f>
        <v/>
      </c>
      <c r="G1384" t="str">
        <f>IF(1361&lt;=$B$4,IFERROR(MATCH(1361,'EDS Lookup'!$H$6:$H$2819,0),""),"")</f>
        <v/>
      </c>
      <c r="H1384" t="str">
        <f t="shared" si="21"/>
        <v/>
      </c>
    </row>
    <row r="1385" spans="1:8" ht="19.95" customHeight="1">
      <c r="A1385" s="5" t="str">
        <f>IF($G1385="","",INDEX('EDS Lookup'!$D$6:$D$2819,$G1385))</f>
        <v/>
      </c>
      <c r="B1385" s="5" t="str">
        <f>IF($G1385="","",INDEX('EDS Lookup'!$B$6:$B$2819,$G1385))</f>
        <v/>
      </c>
      <c r="C1385" s="17"/>
      <c r="D1385" s="6"/>
      <c r="E1385" s="7" t="str">
        <f>IF($G1385="","",INDEX('EDS Lookup'!$F$6:$F$2819,$G1385))</f>
        <v/>
      </c>
      <c r="F1385" s="8" t="str">
        <f>IF($G1385="","",INDEX('EDS Lookup'!$G$6:$G$2819,$G1385))</f>
        <v/>
      </c>
      <c r="G1385" t="str">
        <f>IF(1362&lt;=$B$4,IFERROR(MATCH(1362,'EDS Lookup'!$H$6:$H$2819,0),""),"")</f>
        <v/>
      </c>
      <c r="H1385" t="str">
        <f t="shared" si="21"/>
        <v/>
      </c>
    </row>
    <row r="1386" spans="1:8" ht="19.95" customHeight="1">
      <c r="A1386" s="5" t="str">
        <f>IF($G1386="","",INDEX('EDS Lookup'!$D$6:$D$2819,$G1386))</f>
        <v/>
      </c>
      <c r="B1386" s="5" t="str">
        <f>IF($G1386="","",INDEX('EDS Lookup'!$B$6:$B$2819,$G1386))</f>
        <v/>
      </c>
      <c r="C1386" s="17"/>
      <c r="D1386" s="6"/>
      <c r="E1386" s="7" t="str">
        <f>IF($G1386="","",INDEX('EDS Lookup'!$F$6:$F$2819,$G1386))</f>
        <v/>
      </c>
      <c r="F1386" s="8" t="str">
        <f>IF($G1386="","",INDEX('EDS Lookup'!$G$6:$G$2819,$G1386))</f>
        <v/>
      </c>
      <c r="G1386" t="str">
        <f>IF(1363&lt;=$B$4,IFERROR(MATCH(1363,'EDS Lookup'!$H$6:$H$2819,0),""),"")</f>
        <v/>
      </c>
      <c r="H1386" t="str">
        <f t="shared" si="21"/>
        <v/>
      </c>
    </row>
    <row r="1387" spans="1:8" ht="19.95" customHeight="1">
      <c r="A1387" s="5" t="str">
        <f>IF($G1387="","",INDEX('EDS Lookup'!$D$6:$D$2819,$G1387))</f>
        <v/>
      </c>
      <c r="B1387" s="5" t="str">
        <f>IF($G1387="","",INDEX('EDS Lookup'!$B$6:$B$2819,$G1387))</f>
        <v/>
      </c>
      <c r="C1387" s="17"/>
      <c r="D1387" s="6"/>
      <c r="E1387" s="7" t="str">
        <f>IF($G1387="","",INDEX('EDS Lookup'!$F$6:$F$2819,$G1387))</f>
        <v/>
      </c>
      <c r="F1387" s="8" t="str">
        <f>IF($G1387="","",INDEX('EDS Lookup'!$G$6:$G$2819,$G1387))</f>
        <v/>
      </c>
      <c r="G1387" t="str">
        <f>IF(1364&lt;=$B$4,IFERROR(MATCH(1364,'EDS Lookup'!$H$6:$H$2819,0),""),"")</f>
        <v/>
      </c>
      <c r="H1387" t="str">
        <f t="shared" si="21"/>
        <v/>
      </c>
    </row>
    <row r="1388" spans="1:8" ht="19.95" customHeight="1">
      <c r="A1388" s="5" t="str">
        <f>IF($G1388="","",INDEX('EDS Lookup'!$D$6:$D$2819,$G1388))</f>
        <v/>
      </c>
      <c r="B1388" s="5" t="str">
        <f>IF($G1388="","",INDEX('EDS Lookup'!$B$6:$B$2819,$G1388))</f>
        <v/>
      </c>
      <c r="C1388" s="17"/>
      <c r="D1388" s="6"/>
      <c r="E1388" s="7" t="str">
        <f>IF($G1388="","",INDEX('EDS Lookup'!$F$6:$F$2819,$G1388))</f>
        <v/>
      </c>
      <c r="F1388" s="8" t="str">
        <f>IF($G1388="","",INDEX('EDS Lookup'!$G$6:$G$2819,$G1388))</f>
        <v/>
      </c>
      <c r="G1388" t="str">
        <f>IF(1365&lt;=$B$4,IFERROR(MATCH(1365,'EDS Lookup'!$H$6:$H$2819,0),""),"")</f>
        <v/>
      </c>
      <c r="H1388" t="str">
        <f t="shared" si="21"/>
        <v/>
      </c>
    </row>
    <row r="1389" spans="1:8" ht="19.95" customHeight="1">
      <c r="A1389" s="5" t="str">
        <f>IF($G1389="","",INDEX('EDS Lookup'!$D$6:$D$2819,$G1389))</f>
        <v/>
      </c>
      <c r="B1389" s="5" t="str">
        <f>IF($G1389="","",INDEX('EDS Lookup'!$B$6:$B$2819,$G1389))</f>
        <v/>
      </c>
      <c r="C1389" s="17"/>
      <c r="D1389" s="6"/>
      <c r="E1389" s="7" t="str">
        <f>IF($G1389="","",INDEX('EDS Lookup'!$F$6:$F$2819,$G1389))</f>
        <v/>
      </c>
      <c r="F1389" s="8" t="str">
        <f>IF($G1389="","",INDEX('EDS Lookup'!$G$6:$G$2819,$G1389))</f>
        <v/>
      </c>
      <c r="G1389" t="str">
        <f>IF(1366&lt;=$B$4,IFERROR(MATCH(1366,'EDS Lookup'!$H$6:$H$2819,0),""),"")</f>
        <v/>
      </c>
      <c r="H1389" t="str">
        <f t="shared" si="21"/>
        <v/>
      </c>
    </row>
    <row r="1390" spans="1:8" ht="19.95" customHeight="1">
      <c r="A1390" s="5" t="str">
        <f>IF($G1390="","",INDEX('EDS Lookup'!$D$6:$D$2819,$G1390))</f>
        <v/>
      </c>
      <c r="B1390" s="5" t="str">
        <f>IF($G1390="","",INDEX('EDS Lookup'!$B$6:$B$2819,$G1390))</f>
        <v/>
      </c>
      <c r="C1390" s="17"/>
      <c r="D1390" s="6"/>
      <c r="E1390" s="7" t="str">
        <f>IF($G1390="","",INDEX('EDS Lookup'!$F$6:$F$2819,$G1390))</f>
        <v/>
      </c>
      <c r="F1390" s="8" t="str">
        <f>IF($G1390="","",INDEX('EDS Lookup'!$G$6:$G$2819,$G1390))</f>
        <v/>
      </c>
      <c r="G1390" t="str">
        <f>IF(1367&lt;=$B$4,IFERROR(MATCH(1367,'EDS Lookup'!$H$6:$H$2819,0),""),"")</f>
        <v/>
      </c>
      <c r="H1390" t="str">
        <f t="shared" si="21"/>
        <v/>
      </c>
    </row>
    <row r="1391" spans="1:8" ht="19.95" customHeight="1">
      <c r="A1391" s="5" t="str">
        <f>IF($G1391="","",INDEX('EDS Lookup'!$D$6:$D$2819,$G1391))</f>
        <v/>
      </c>
      <c r="B1391" s="5" t="str">
        <f>IF($G1391="","",INDEX('EDS Lookup'!$B$6:$B$2819,$G1391))</f>
        <v/>
      </c>
      <c r="C1391" s="17"/>
      <c r="D1391" s="6"/>
      <c r="E1391" s="7" t="str">
        <f>IF($G1391="","",INDEX('EDS Lookup'!$F$6:$F$2819,$G1391))</f>
        <v/>
      </c>
      <c r="F1391" s="8" t="str">
        <f>IF($G1391="","",INDEX('EDS Lookup'!$G$6:$G$2819,$G1391))</f>
        <v/>
      </c>
      <c r="G1391" t="str">
        <f>IF(1368&lt;=$B$4,IFERROR(MATCH(1368,'EDS Lookup'!$H$6:$H$2819,0),""),"")</f>
        <v/>
      </c>
      <c r="H1391" t="str">
        <f t="shared" si="21"/>
        <v/>
      </c>
    </row>
    <row r="1392" spans="1:8" ht="19.95" customHeight="1">
      <c r="A1392" s="5" t="str">
        <f>IF($G1392="","",INDEX('EDS Lookup'!$D$6:$D$2819,$G1392))</f>
        <v/>
      </c>
      <c r="B1392" s="5" t="str">
        <f>IF($G1392="","",INDEX('EDS Lookup'!$B$6:$B$2819,$G1392))</f>
        <v/>
      </c>
      <c r="C1392" s="17"/>
      <c r="D1392" s="6"/>
      <c r="E1392" s="7" t="str">
        <f>IF($G1392="","",INDEX('EDS Lookup'!$F$6:$F$2819,$G1392))</f>
        <v/>
      </c>
      <c r="F1392" s="8" t="str">
        <f>IF($G1392="","",INDEX('EDS Lookup'!$G$6:$G$2819,$G1392))</f>
        <v/>
      </c>
      <c r="G1392" t="str">
        <f>IF(1369&lt;=$B$4,IFERROR(MATCH(1369,'EDS Lookup'!$H$6:$H$2819,0),""),"")</f>
        <v/>
      </c>
      <c r="H1392" t="str">
        <f t="shared" si="21"/>
        <v/>
      </c>
    </row>
    <row r="1393" spans="1:8" ht="19.95" customHeight="1">
      <c r="A1393" s="5" t="str">
        <f>IF($G1393="","",INDEX('EDS Lookup'!$D$6:$D$2819,$G1393))</f>
        <v/>
      </c>
      <c r="B1393" s="5" t="str">
        <f>IF($G1393="","",INDEX('EDS Lookup'!$B$6:$B$2819,$G1393))</f>
        <v/>
      </c>
      <c r="C1393" s="17"/>
      <c r="D1393" s="6"/>
      <c r="E1393" s="7" t="str">
        <f>IF($G1393="","",INDEX('EDS Lookup'!$F$6:$F$2819,$G1393))</f>
        <v/>
      </c>
      <c r="F1393" s="8" t="str">
        <f>IF($G1393="","",INDEX('EDS Lookup'!$G$6:$G$2819,$G1393))</f>
        <v/>
      </c>
      <c r="G1393" t="str">
        <f>IF(1370&lt;=$B$4,IFERROR(MATCH(1370,'EDS Lookup'!$H$6:$H$2819,0),""),"")</f>
        <v/>
      </c>
      <c r="H1393" t="str">
        <f t="shared" si="21"/>
        <v/>
      </c>
    </row>
    <row r="1394" spans="1:8" ht="19.95" customHeight="1">
      <c r="A1394" s="5" t="str">
        <f>IF($G1394="","",INDEX('EDS Lookup'!$D$6:$D$2819,$G1394))</f>
        <v/>
      </c>
      <c r="B1394" s="5" t="str">
        <f>IF($G1394="","",INDEX('EDS Lookup'!$B$6:$B$2819,$G1394))</f>
        <v/>
      </c>
      <c r="C1394" s="17"/>
      <c r="D1394" s="6"/>
      <c r="E1394" s="7" t="str">
        <f>IF($G1394="","",INDEX('EDS Lookup'!$F$6:$F$2819,$G1394))</f>
        <v/>
      </c>
      <c r="F1394" s="8" t="str">
        <f>IF($G1394="","",INDEX('EDS Lookup'!$G$6:$G$2819,$G1394))</f>
        <v/>
      </c>
      <c r="G1394" t="str">
        <f>IF(1371&lt;=$B$4,IFERROR(MATCH(1371,'EDS Lookup'!$H$6:$H$2819,0),""),"")</f>
        <v/>
      </c>
      <c r="H1394" t="str">
        <f t="shared" si="21"/>
        <v/>
      </c>
    </row>
    <row r="1395" spans="1:8" ht="19.95" customHeight="1">
      <c r="A1395" s="5" t="str">
        <f>IF($G1395="","",INDEX('EDS Lookup'!$D$6:$D$2819,$G1395))</f>
        <v/>
      </c>
      <c r="B1395" s="5" t="str">
        <f>IF($G1395="","",INDEX('EDS Lookup'!$B$6:$B$2819,$G1395))</f>
        <v/>
      </c>
      <c r="C1395" s="17"/>
      <c r="D1395" s="6"/>
      <c r="E1395" s="7" t="str">
        <f>IF($G1395="","",INDEX('EDS Lookup'!$F$6:$F$2819,$G1395))</f>
        <v/>
      </c>
      <c r="F1395" s="8" t="str">
        <f>IF($G1395="","",INDEX('EDS Lookup'!$G$6:$G$2819,$G1395))</f>
        <v/>
      </c>
      <c r="G1395" t="str">
        <f>IF(1372&lt;=$B$4,IFERROR(MATCH(1372,'EDS Lookup'!$H$6:$H$2819,0),""),"")</f>
        <v/>
      </c>
      <c r="H1395" t="str">
        <f t="shared" si="21"/>
        <v/>
      </c>
    </row>
    <row r="1396" spans="1:8" ht="19.95" customHeight="1">
      <c r="A1396" s="5" t="str">
        <f>IF($G1396="","",INDEX('EDS Lookup'!$D$6:$D$2819,$G1396))</f>
        <v/>
      </c>
      <c r="B1396" s="5" t="str">
        <f>IF($G1396="","",INDEX('EDS Lookup'!$B$6:$B$2819,$G1396))</f>
        <v/>
      </c>
      <c r="C1396" s="17"/>
      <c r="D1396" s="6"/>
      <c r="E1396" s="7" t="str">
        <f>IF($G1396="","",INDEX('EDS Lookup'!$F$6:$F$2819,$G1396))</f>
        <v/>
      </c>
      <c r="F1396" s="8" t="str">
        <f>IF($G1396="","",INDEX('EDS Lookup'!$G$6:$G$2819,$G1396))</f>
        <v/>
      </c>
      <c r="G1396" t="str">
        <f>IF(1373&lt;=$B$4,IFERROR(MATCH(1373,'EDS Lookup'!$H$6:$H$2819,0),""),"")</f>
        <v/>
      </c>
      <c r="H1396" t="str">
        <f t="shared" si="21"/>
        <v/>
      </c>
    </row>
    <row r="1397" spans="1:8" ht="19.95" customHeight="1">
      <c r="A1397" s="5" t="str">
        <f>IF($G1397="","",INDEX('EDS Lookup'!$D$6:$D$2819,$G1397))</f>
        <v/>
      </c>
      <c r="B1397" s="5" t="str">
        <f>IF($G1397="","",INDEX('EDS Lookup'!$B$6:$B$2819,$G1397))</f>
        <v/>
      </c>
      <c r="C1397" s="17"/>
      <c r="D1397" s="6"/>
      <c r="E1397" s="7" t="str">
        <f>IF($G1397="","",INDEX('EDS Lookup'!$F$6:$F$2819,$G1397))</f>
        <v/>
      </c>
      <c r="F1397" s="8" t="str">
        <f>IF($G1397="","",INDEX('EDS Lookup'!$G$6:$G$2819,$G1397))</f>
        <v/>
      </c>
      <c r="G1397" t="str">
        <f>IF(1374&lt;=$B$4,IFERROR(MATCH(1374,'EDS Lookup'!$H$6:$H$2819,0),""),"")</f>
        <v/>
      </c>
      <c r="H1397" t="str">
        <f t="shared" si="21"/>
        <v/>
      </c>
    </row>
    <row r="1398" spans="1:8" ht="19.95" customHeight="1">
      <c r="A1398" s="5" t="str">
        <f>IF($G1398="","",INDEX('EDS Lookup'!$D$6:$D$2819,$G1398))</f>
        <v/>
      </c>
      <c r="B1398" s="5" t="str">
        <f>IF($G1398="","",INDEX('EDS Lookup'!$B$6:$B$2819,$G1398))</f>
        <v/>
      </c>
      <c r="C1398" s="17"/>
      <c r="D1398" s="6"/>
      <c r="E1398" s="7" t="str">
        <f>IF($G1398="","",INDEX('EDS Lookup'!$F$6:$F$2819,$G1398))</f>
        <v/>
      </c>
      <c r="F1398" s="8" t="str">
        <f>IF($G1398="","",INDEX('EDS Lookup'!$G$6:$G$2819,$G1398))</f>
        <v/>
      </c>
      <c r="G1398" t="str">
        <f>IF(1375&lt;=$B$4,IFERROR(MATCH(1375,'EDS Lookup'!$H$6:$H$2819,0),""),"")</f>
        <v/>
      </c>
      <c r="H1398" t="str">
        <f t="shared" si="21"/>
        <v/>
      </c>
    </row>
    <row r="1399" spans="1:8" ht="19.95" customHeight="1">
      <c r="A1399" s="5" t="str">
        <f>IF($G1399="","",INDEX('EDS Lookup'!$D$6:$D$2819,$G1399))</f>
        <v/>
      </c>
      <c r="B1399" s="5" t="str">
        <f>IF($G1399="","",INDEX('EDS Lookup'!$B$6:$B$2819,$G1399))</f>
        <v/>
      </c>
      <c r="C1399" s="17"/>
      <c r="D1399" s="6"/>
      <c r="E1399" s="7" t="str">
        <f>IF($G1399="","",INDEX('EDS Lookup'!$F$6:$F$2819,$G1399))</f>
        <v/>
      </c>
      <c r="F1399" s="8" t="str">
        <f>IF($G1399="","",INDEX('EDS Lookup'!$G$6:$G$2819,$G1399))</f>
        <v/>
      </c>
      <c r="G1399" t="str">
        <f>IF(1376&lt;=$B$4,IFERROR(MATCH(1376,'EDS Lookup'!$H$6:$H$2819,0),""),"")</f>
        <v/>
      </c>
      <c r="H1399" t="str">
        <f t="shared" si="21"/>
        <v/>
      </c>
    </row>
    <row r="1400" spans="1:8" ht="19.95" customHeight="1">
      <c r="A1400" s="5" t="str">
        <f>IF($G1400="","",INDEX('EDS Lookup'!$D$6:$D$2819,$G1400))</f>
        <v/>
      </c>
      <c r="B1400" s="5" t="str">
        <f>IF($G1400="","",INDEX('EDS Lookup'!$B$6:$B$2819,$G1400))</f>
        <v/>
      </c>
      <c r="C1400" s="17"/>
      <c r="D1400" s="6"/>
      <c r="E1400" s="7" t="str">
        <f>IF($G1400="","",INDEX('EDS Lookup'!$F$6:$F$2819,$G1400))</f>
        <v/>
      </c>
      <c r="F1400" s="8" t="str">
        <f>IF($G1400="","",INDEX('EDS Lookup'!$G$6:$G$2819,$G1400))</f>
        <v/>
      </c>
      <c r="G1400" t="str">
        <f>IF(1377&lt;=$B$4,IFERROR(MATCH(1377,'EDS Lookup'!$H$6:$H$2819,0),""),"")</f>
        <v/>
      </c>
      <c r="H1400" t="str">
        <f t="shared" si="21"/>
        <v/>
      </c>
    </row>
    <row r="1401" spans="1:8" ht="19.95" customHeight="1">
      <c r="A1401" s="5" t="str">
        <f>IF($G1401="","",INDEX('EDS Lookup'!$D$6:$D$2819,$G1401))</f>
        <v/>
      </c>
      <c r="B1401" s="5" t="str">
        <f>IF($G1401="","",INDEX('EDS Lookup'!$B$6:$B$2819,$G1401))</f>
        <v/>
      </c>
      <c r="C1401" s="17"/>
      <c r="D1401" s="6"/>
      <c r="E1401" s="7" t="str">
        <f>IF($G1401="","",INDEX('EDS Lookup'!$F$6:$F$2819,$G1401))</f>
        <v/>
      </c>
      <c r="F1401" s="8" t="str">
        <f>IF($G1401="","",INDEX('EDS Lookup'!$G$6:$G$2819,$G1401))</f>
        <v/>
      </c>
      <c r="G1401" t="str">
        <f>IF(1378&lt;=$B$4,IFERROR(MATCH(1378,'EDS Lookup'!$H$6:$H$2819,0),""),"")</f>
        <v/>
      </c>
      <c r="H1401" t="str">
        <f t="shared" si="21"/>
        <v/>
      </c>
    </row>
    <row r="1402" spans="1:8" ht="19.95" customHeight="1">
      <c r="A1402" s="5" t="str">
        <f>IF($G1402="","",INDEX('EDS Lookup'!$D$6:$D$2819,$G1402))</f>
        <v/>
      </c>
      <c r="B1402" s="5" t="str">
        <f>IF($G1402="","",INDEX('EDS Lookup'!$B$6:$B$2819,$G1402))</f>
        <v/>
      </c>
      <c r="C1402" s="17"/>
      <c r="D1402" s="6"/>
      <c r="E1402" s="7" t="str">
        <f>IF($G1402="","",INDEX('EDS Lookup'!$F$6:$F$2819,$G1402))</f>
        <v/>
      </c>
      <c r="F1402" s="8" t="str">
        <f>IF($G1402="","",INDEX('EDS Lookup'!$G$6:$G$2819,$G1402))</f>
        <v/>
      </c>
      <c r="G1402" t="str">
        <f>IF(1379&lt;=$B$4,IFERROR(MATCH(1379,'EDS Lookup'!$H$6:$H$2819,0),""),"")</f>
        <v/>
      </c>
      <c r="H1402" t="str">
        <f t="shared" si="21"/>
        <v/>
      </c>
    </row>
    <row r="1403" spans="1:8" ht="19.95" customHeight="1">
      <c r="A1403" s="5" t="str">
        <f>IF($G1403="","",INDEX('EDS Lookup'!$D$6:$D$2819,$G1403))</f>
        <v/>
      </c>
      <c r="B1403" s="5" t="str">
        <f>IF($G1403="","",INDEX('EDS Lookup'!$B$6:$B$2819,$G1403))</f>
        <v/>
      </c>
      <c r="C1403" s="17"/>
      <c r="D1403" s="6"/>
      <c r="E1403" s="7" t="str">
        <f>IF($G1403="","",INDEX('EDS Lookup'!$F$6:$F$2819,$G1403))</f>
        <v/>
      </c>
      <c r="F1403" s="8" t="str">
        <f>IF($G1403="","",INDEX('EDS Lookup'!$G$6:$G$2819,$G1403))</f>
        <v/>
      </c>
      <c r="G1403" t="str">
        <f>IF(1380&lt;=$B$4,IFERROR(MATCH(1380,'EDS Lookup'!$H$6:$H$2819,0),""),"")</f>
        <v/>
      </c>
      <c r="H1403" t="str">
        <f t="shared" si="21"/>
        <v/>
      </c>
    </row>
    <row r="1404" spans="1:8" ht="19.95" customHeight="1">
      <c r="A1404" s="5" t="str">
        <f>IF($G1404="","",INDEX('EDS Lookup'!$D$6:$D$2819,$G1404))</f>
        <v/>
      </c>
      <c r="B1404" s="5" t="str">
        <f>IF($G1404="","",INDEX('EDS Lookup'!$B$6:$B$2819,$G1404))</f>
        <v/>
      </c>
      <c r="C1404" s="17"/>
      <c r="D1404" s="6"/>
      <c r="E1404" s="7" t="str">
        <f>IF($G1404="","",INDEX('EDS Lookup'!$F$6:$F$2819,$G1404))</f>
        <v/>
      </c>
      <c r="F1404" s="8" t="str">
        <f>IF($G1404="","",INDEX('EDS Lookup'!$G$6:$G$2819,$G1404))</f>
        <v/>
      </c>
      <c r="G1404" t="str">
        <f>IF(1381&lt;=$B$4,IFERROR(MATCH(1381,'EDS Lookup'!$H$6:$H$2819,0),""),"")</f>
        <v/>
      </c>
      <c r="H1404" t="str">
        <f t="shared" si="21"/>
        <v/>
      </c>
    </row>
    <row r="1405" spans="1:8" ht="19.95" customHeight="1">
      <c r="A1405" s="5" t="str">
        <f>IF($G1405="","",INDEX('EDS Lookup'!$D$6:$D$2819,$G1405))</f>
        <v/>
      </c>
      <c r="B1405" s="5" t="str">
        <f>IF($G1405="","",INDEX('EDS Lookup'!$B$6:$B$2819,$G1405))</f>
        <v/>
      </c>
      <c r="C1405" s="17"/>
      <c r="D1405" s="6"/>
      <c r="E1405" s="7" t="str">
        <f>IF($G1405="","",INDEX('EDS Lookup'!$F$6:$F$2819,$G1405))</f>
        <v/>
      </c>
      <c r="F1405" s="8" t="str">
        <f>IF($G1405="","",INDEX('EDS Lookup'!$G$6:$G$2819,$G1405))</f>
        <v/>
      </c>
      <c r="G1405" t="str">
        <f>IF(1382&lt;=$B$4,IFERROR(MATCH(1382,'EDS Lookup'!$H$6:$H$2819,0),""),"")</f>
        <v/>
      </c>
      <c r="H1405" t="str">
        <f t="shared" si="21"/>
        <v/>
      </c>
    </row>
    <row r="1406" spans="1:8" ht="19.95" customHeight="1">
      <c r="A1406" s="5" t="str">
        <f>IF($G1406="","",INDEX('EDS Lookup'!$D$6:$D$2819,$G1406))</f>
        <v/>
      </c>
      <c r="B1406" s="5" t="str">
        <f>IF($G1406="","",INDEX('EDS Lookup'!$B$6:$B$2819,$G1406))</f>
        <v/>
      </c>
      <c r="C1406" s="17"/>
      <c r="D1406" s="6"/>
      <c r="E1406" s="7" t="str">
        <f>IF($G1406="","",INDEX('EDS Lookup'!$F$6:$F$2819,$G1406))</f>
        <v/>
      </c>
      <c r="F1406" s="8" t="str">
        <f>IF($G1406="","",INDEX('EDS Lookup'!$G$6:$G$2819,$G1406))</f>
        <v/>
      </c>
      <c r="G1406" t="str">
        <f>IF(1383&lt;=$B$4,IFERROR(MATCH(1383,'EDS Lookup'!$H$6:$H$2819,0),""),"")</f>
        <v/>
      </c>
      <c r="H1406" t="str">
        <f t="shared" si="21"/>
        <v/>
      </c>
    </row>
    <row r="1407" spans="1:8" ht="19.95" customHeight="1">
      <c r="A1407" s="5" t="str">
        <f>IF($G1407="","",INDEX('EDS Lookup'!$D$6:$D$2819,$G1407))</f>
        <v/>
      </c>
      <c r="B1407" s="5" t="str">
        <f>IF($G1407="","",INDEX('EDS Lookup'!$B$6:$B$2819,$G1407))</f>
        <v/>
      </c>
      <c r="C1407" s="17"/>
      <c r="D1407" s="6"/>
      <c r="E1407" s="7" t="str">
        <f>IF($G1407="","",INDEX('EDS Lookup'!$F$6:$F$2819,$G1407))</f>
        <v/>
      </c>
      <c r="F1407" s="8" t="str">
        <f>IF($G1407="","",INDEX('EDS Lookup'!$G$6:$G$2819,$G1407))</f>
        <v/>
      </c>
      <c r="G1407" t="str">
        <f>IF(1384&lt;=$B$4,IFERROR(MATCH(1384,'EDS Lookup'!$H$6:$H$2819,0),""),"")</f>
        <v/>
      </c>
      <c r="H1407" t="str">
        <f t="shared" si="21"/>
        <v/>
      </c>
    </row>
    <row r="1408" spans="1:8" ht="19.95" customHeight="1">
      <c r="A1408" s="5" t="str">
        <f>IF($G1408="","",INDEX('EDS Lookup'!$D$6:$D$2819,$G1408))</f>
        <v/>
      </c>
      <c r="B1408" s="5" t="str">
        <f>IF($G1408="","",INDEX('EDS Lookup'!$B$6:$B$2819,$G1408))</f>
        <v/>
      </c>
      <c r="C1408" s="17"/>
      <c r="D1408" s="6"/>
      <c r="E1408" s="7" t="str">
        <f>IF($G1408="","",INDEX('EDS Lookup'!$F$6:$F$2819,$G1408))</f>
        <v/>
      </c>
      <c r="F1408" s="8" t="str">
        <f>IF($G1408="","",INDEX('EDS Lookup'!$G$6:$G$2819,$G1408))</f>
        <v/>
      </c>
      <c r="G1408" t="str">
        <f>IF(1385&lt;=$B$4,IFERROR(MATCH(1385,'EDS Lookup'!$H$6:$H$2819,0),""),"")</f>
        <v/>
      </c>
      <c r="H1408" t="str">
        <f t="shared" si="21"/>
        <v/>
      </c>
    </row>
    <row r="1409" spans="1:8" ht="19.95" customHeight="1">
      <c r="A1409" s="5" t="str">
        <f>IF($G1409="","",INDEX('EDS Lookup'!$D$6:$D$2819,$G1409))</f>
        <v/>
      </c>
      <c r="B1409" s="5" t="str">
        <f>IF($G1409="","",INDEX('EDS Lookup'!$B$6:$B$2819,$G1409))</f>
        <v/>
      </c>
      <c r="C1409" s="17"/>
      <c r="D1409" s="6"/>
      <c r="E1409" s="7" t="str">
        <f>IF($G1409="","",INDEX('EDS Lookup'!$F$6:$F$2819,$G1409))</f>
        <v/>
      </c>
      <c r="F1409" s="8" t="str">
        <f>IF($G1409="","",INDEX('EDS Lookup'!$G$6:$G$2819,$G1409))</f>
        <v/>
      </c>
      <c r="G1409" t="str">
        <f>IF(1386&lt;=$B$4,IFERROR(MATCH(1386,'EDS Lookup'!$H$6:$H$2819,0),""),"")</f>
        <v/>
      </c>
      <c r="H1409" t="str">
        <f t="shared" si="21"/>
        <v/>
      </c>
    </row>
    <row r="1410" spans="1:8" ht="19.95" customHeight="1">
      <c r="A1410" s="5" t="str">
        <f>IF($G1410="","",INDEX('EDS Lookup'!$D$6:$D$2819,$G1410))</f>
        <v/>
      </c>
      <c r="B1410" s="5" t="str">
        <f>IF($G1410="","",INDEX('EDS Lookup'!$B$6:$B$2819,$G1410))</f>
        <v/>
      </c>
      <c r="C1410" s="17"/>
      <c r="D1410" s="6"/>
      <c r="E1410" s="7" t="str">
        <f>IF($G1410="","",INDEX('EDS Lookup'!$F$6:$F$2819,$G1410))</f>
        <v/>
      </c>
      <c r="F1410" s="8" t="str">
        <f>IF($G1410="","",INDEX('EDS Lookup'!$G$6:$G$2819,$G1410))</f>
        <v/>
      </c>
      <c r="G1410" t="str">
        <f>IF(1387&lt;=$B$4,IFERROR(MATCH(1387,'EDS Lookup'!$H$6:$H$2819,0),""),"")</f>
        <v/>
      </c>
      <c r="H1410" t="str">
        <f t="shared" si="21"/>
        <v/>
      </c>
    </row>
    <row r="1411" spans="1:8" ht="19.95" customHeight="1">
      <c r="A1411" s="5" t="str">
        <f>IF($G1411="","",INDEX('EDS Lookup'!$D$6:$D$2819,$G1411))</f>
        <v/>
      </c>
      <c r="B1411" s="5" t="str">
        <f>IF($G1411="","",INDEX('EDS Lookup'!$B$6:$B$2819,$G1411))</f>
        <v/>
      </c>
      <c r="C1411" s="17"/>
      <c r="D1411" s="6"/>
      <c r="E1411" s="7" t="str">
        <f>IF($G1411="","",INDEX('EDS Lookup'!$F$6:$F$2819,$G1411))</f>
        <v/>
      </c>
      <c r="F1411" s="8" t="str">
        <f>IF($G1411="","",INDEX('EDS Lookup'!$G$6:$G$2819,$G1411))</f>
        <v/>
      </c>
      <c r="G1411" t="str">
        <f>IF(1388&lt;=$B$4,IFERROR(MATCH(1388,'EDS Lookup'!$H$6:$H$2819,0),""),"")</f>
        <v/>
      </c>
      <c r="H1411" t="str">
        <f t="shared" si="21"/>
        <v/>
      </c>
    </row>
    <row r="1412" spans="1:8" ht="19.95" customHeight="1">
      <c r="A1412" s="5" t="str">
        <f>IF($G1412="","",INDEX('EDS Lookup'!$D$6:$D$2819,$G1412))</f>
        <v/>
      </c>
      <c r="B1412" s="5" t="str">
        <f>IF($G1412="","",INDEX('EDS Lookup'!$B$6:$B$2819,$G1412))</f>
        <v/>
      </c>
      <c r="C1412" s="17"/>
      <c r="D1412" s="6"/>
      <c r="E1412" s="7" t="str">
        <f>IF($G1412="","",INDEX('EDS Lookup'!$F$6:$F$2819,$G1412))</f>
        <v/>
      </c>
      <c r="F1412" s="8" t="str">
        <f>IF($G1412="","",INDEX('EDS Lookup'!$G$6:$G$2819,$G1412))</f>
        <v/>
      </c>
      <c r="G1412" t="str">
        <f>IF(1389&lt;=$B$4,IFERROR(MATCH(1389,'EDS Lookup'!$H$6:$H$2819,0),""),"")</f>
        <v/>
      </c>
      <c r="H1412" t="str">
        <f t="shared" si="21"/>
        <v/>
      </c>
    </row>
    <row r="1413" spans="1:8" ht="19.95" customHeight="1">
      <c r="A1413" s="5" t="str">
        <f>IF($G1413="","",INDEX('EDS Lookup'!$D$6:$D$2819,$G1413))</f>
        <v/>
      </c>
      <c r="B1413" s="5" t="str">
        <f>IF($G1413="","",INDEX('EDS Lookup'!$B$6:$B$2819,$G1413))</f>
        <v/>
      </c>
      <c r="C1413" s="17"/>
      <c r="D1413" s="6"/>
      <c r="E1413" s="7" t="str">
        <f>IF($G1413="","",INDEX('EDS Lookup'!$F$6:$F$2819,$G1413))</f>
        <v/>
      </c>
      <c r="F1413" s="8" t="str">
        <f>IF($G1413="","",INDEX('EDS Lookup'!$G$6:$G$2819,$G1413))</f>
        <v/>
      </c>
      <c r="G1413" t="str">
        <f>IF(1390&lt;=$B$4,IFERROR(MATCH(1390,'EDS Lookup'!$H$6:$H$2819,0),""),"")</f>
        <v/>
      </c>
      <c r="H1413" t="str">
        <f t="shared" si="21"/>
        <v/>
      </c>
    </row>
    <row r="1414" spans="1:8" ht="19.95" customHeight="1">
      <c r="A1414" s="5" t="str">
        <f>IF($G1414="","",INDEX('EDS Lookup'!$D$6:$D$2819,$G1414))</f>
        <v/>
      </c>
      <c r="B1414" s="5" t="str">
        <f>IF($G1414="","",INDEX('EDS Lookup'!$B$6:$B$2819,$G1414))</f>
        <v/>
      </c>
      <c r="C1414" s="17"/>
      <c r="D1414" s="6"/>
      <c r="E1414" s="7" t="str">
        <f>IF($G1414="","",INDEX('EDS Lookup'!$F$6:$F$2819,$G1414))</f>
        <v/>
      </c>
      <c r="F1414" s="8" t="str">
        <f>IF($G1414="","",INDEX('EDS Lookup'!$G$6:$G$2819,$G1414))</f>
        <v/>
      </c>
      <c r="G1414" t="str">
        <f>IF(1391&lt;=$B$4,IFERROR(MATCH(1391,'EDS Lookup'!$H$6:$H$2819,0),""),"")</f>
        <v/>
      </c>
      <c r="H1414" t="str">
        <f t="shared" si="21"/>
        <v/>
      </c>
    </row>
    <row r="1415" spans="1:8" ht="19.95" customHeight="1">
      <c r="A1415" s="5" t="str">
        <f>IF($G1415="","",INDEX('EDS Lookup'!$D$6:$D$2819,$G1415))</f>
        <v/>
      </c>
      <c r="B1415" s="5" t="str">
        <f>IF($G1415="","",INDEX('EDS Lookup'!$B$6:$B$2819,$G1415))</f>
        <v/>
      </c>
      <c r="C1415" s="17"/>
      <c r="D1415" s="6"/>
      <c r="E1415" s="7" t="str">
        <f>IF($G1415="","",INDEX('EDS Lookup'!$F$6:$F$2819,$G1415))</f>
        <v/>
      </c>
      <c r="F1415" s="8" t="str">
        <f>IF($G1415="","",INDEX('EDS Lookup'!$G$6:$G$2819,$G1415))</f>
        <v/>
      </c>
      <c r="G1415" t="str">
        <f>IF(1392&lt;=$B$4,IFERROR(MATCH(1392,'EDS Lookup'!$H$6:$H$2819,0),""),"")</f>
        <v/>
      </c>
      <c r="H1415" t="str">
        <f t="shared" si="21"/>
        <v/>
      </c>
    </row>
    <row r="1416" spans="1:8" ht="19.95" customHeight="1">
      <c r="A1416" s="5" t="str">
        <f>IF($G1416="","",INDEX('EDS Lookup'!$D$6:$D$2819,$G1416))</f>
        <v/>
      </c>
      <c r="B1416" s="5" t="str">
        <f>IF($G1416="","",INDEX('EDS Lookup'!$B$6:$B$2819,$G1416))</f>
        <v/>
      </c>
      <c r="C1416" s="17"/>
      <c r="D1416" s="6"/>
      <c r="E1416" s="7" t="str">
        <f>IF($G1416="","",INDEX('EDS Lookup'!$F$6:$F$2819,$G1416))</f>
        <v/>
      </c>
      <c r="F1416" s="8" t="str">
        <f>IF($G1416="","",INDEX('EDS Lookup'!$G$6:$G$2819,$G1416))</f>
        <v/>
      </c>
      <c r="G1416" t="str">
        <f>IF(1393&lt;=$B$4,IFERROR(MATCH(1393,'EDS Lookup'!$H$6:$H$2819,0),""),"")</f>
        <v/>
      </c>
      <c r="H1416" t="str">
        <f t="shared" si="21"/>
        <v/>
      </c>
    </row>
    <row r="1417" spans="1:8" ht="19.95" customHeight="1">
      <c r="A1417" s="5" t="str">
        <f>IF($G1417="","",INDEX('EDS Lookup'!$D$6:$D$2819,$G1417))</f>
        <v/>
      </c>
      <c r="B1417" s="5" t="str">
        <f>IF($G1417="","",INDEX('EDS Lookup'!$B$6:$B$2819,$G1417))</f>
        <v/>
      </c>
      <c r="C1417" s="17"/>
      <c r="D1417" s="6"/>
      <c r="E1417" s="7" t="str">
        <f>IF($G1417="","",INDEX('EDS Lookup'!$F$6:$F$2819,$G1417))</f>
        <v/>
      </c>
      <c r="F1417" s="8" t="str">
        <f>IF($G1417="","",INDEX('EDS Lookup'!$G$6:$G$2819,$G1417))</f>
        <v/>
      </c>
      <c r="G1417" t="str">
        <f>IF(1394&lt;=$B$4,IFERROR(MATCH(1394,'EDS Lookup'!$H$6:$H$2819,0),""),"")</f>
        <v/>
      </c>
      <c r="H1417" t="str">
        <f t="shared" si="21"/>
        <v/>
      </c>
    </row>
    <row r="1418" spans="1:8" ht="19.95" customHeight="1">
      <c r="A1418" s="5" t="str">
        <f>IF($G1418="","",INDEX('EDS Lookup'!$D$6:$D$2819,$G1418))</f>
        <v/>
      </c>
      <c r="B1418" s="5" t="str">
        <f>IF($G1418="","",INDEX('EDS Lookup'!$B$6:$B$2819,$G1418))</f>
        <v/>
      </c>
      <c r="C1418" s="17"/>
      <c r="D1418" s="6"/>
      <c r="E1418" s="7" t="str">
        <f>IF($G1418="","",INDEX('EDS Lookup'!$F$6:$F$2819,$G1418))</f>
        <v/>
      </c>
      <c r="F1418" s="8" t="str">
        <f>IF($G1418="","",INDEX('EDS Lookup'!$G$6:$G$2819,$G1418))</f>
        <v/>
      </c>
      <c r="G1418" t="str">
        <f>IF(1395&lt;=$B$4,IFERROR(MATCH(1395,'EDS Lookup'!$H$6:$H$2819,0),""),"")</f>
        <v/>
      </c>
      <c r="H1418" t="str">
        <f t="shared" si="21"/>
        <v/>
      </c>
    </row>
    <row r="1419" spans="1:8" ht="19.95" customHeight="1">
      <c r="A1419" s="5" t="str">
        <f>IF($G1419="","",INDEX('EDS Lookup'!$D$6:$D$2819,$G1419))</f>
        <v/>
      </c>
      <c r="B1419" s="5" t="str">
        <f>IF($G1419="","",INDEX('EDS Lookup'!$B$6:$B$2819,$G1419))</f>
        <v/>
      </c>
      <c r="C1419" s="17"/>
      <c r="D1419" s="6"/>
      <c r="E1419" s="7" t="str">
        <f>IF($G1419="","",INDEX('EDS Lookup'!$F$6:$F$2819,$G1419))</f>
        <v/>
      </c>
      <c r="F1419" s="8" t="str">
        <f>IF($G1419="","",INDEX('EDS Lookup'!$G$6:$G$2819,$G1419))</f>
        <v/>
      </c>
      <c r="G1419" t="str">
        <f>IF(1396&lt;=$B$4,IFERROR(MATCH(1396,'EDS Lookup'!$H$6:$H$2819,0),""),"")</f>
        <v/>
      </c>
      <c r="H1419" t="str">
        <f t="shared" si="21"/>
        <v/>
      </c>
    </row>
    <row r="1420" spans="1:8" ht="19.95" customHeight="1">
      <c r="A1420" s="5" t="str">
        <f>IF($G1420="","",INDEX('EDS Lookup'!$D$6:$D$2819,$G1420))</f>
        <v/>
      </c>
      <c r="B1420" s="5" t="str">
        <f>IF($G1420="","",INDEX('EDS Lookup'!$B$6:$B$2819,$G1420))</f>
        <v/>
      </c>
      <c r="C1420" s="17"/>
      <c r="D1420" s="6"/>
      <c r="E1420" s="7" t="str">
        <f>IF($G1420="","",INDEX('EDS Lookup'!$F$6:$F$2819,$G1420))</f>
        <v/>
      </c>
      <c r="F1420" s="8" t="str">
        <f>IF($G1420="","",INDEX('EDS Lookup'!$G$6:$G$2819,$G1420))</f>
        <v/>
      </c>
      <c r="G1420" t="str">
        <f>IF(1397&lt;=$B$4,IFERROR(MATCH(1397,'EDS Lookup'!$H$6:$H$2819,0),""),"")</f>
        <v/>
      </c>
      <c r="H1420" t="str">
        <f t="shared" si="21"/>
        <v/>
      </c>
    </row>
    <row r="1421" spans="1:8" ht="19.95" customHeight="1">
      <c r="A1421" s="5" t="str">
        <f>IF($G1421="","",INDEX('EDS Lookup'!$D$6:$D$2819,$G1421))</f>
        <v/>
      </c>
      <c r="B1421" s="5" t="str">
        <f>IF($G1421="","",INDEX('EDS Lookup'!$B$6:$B$2819,$G1421))</f>
        <v/>
      </c>
      <c r="C1421" s="17"/>
      <c r="D1421" s="6"/>
      <c r="E1421" s="7" t="str">
        <f>IF($G1421="","",INDEX('EDS Lookup'!$F$6:$F$2819,$G1421))</f>
        <v/>
      </c>
      <c r="F1421" s="8" t="str">
        <f>IF($G1421="","",INDEX('EDS Lookup'!$G$6:$G$2819,$G1421))</f>
        <v/>
      </c>
      <c r="G1421" t="str">
        <f>IF(1398&lt;=$B$4,IFERROR(MATCH(1398,'EDS Lookup'!$H$6:$H$2819,0),""),"")</f>
        <v/>
      </c>
      <c r="H1421" t="str">
        <f t="shared" si="21"/>
        <v/>
      </c>
    </row>
    <row r="1422" spans="1:8" ht="19.95" customHeight="1">
      <c r="A1422" s="5" t="str">
        <f>IF($G1422="","",INDEX('EDS Lookup'!$D$6:$D$2819,$G1422))</f>
        <v/>
      </c>
      <c r="B1422" s="5" t="str">
        <f>IF($G1422="","",INDEX('EDS Lookup'!$B$6:$B$2819,$G1422))</f>
        <v/>
      </c>
      <c r="C1422" s="17"/>
      <c r="D1422" s="6"/>
      <c r="E1422" s="7" t="str">
        <f>IF($G1422="","",INDEX('EDS Lookup'!$F$6:$F$2819,$G1422))</f>
        <v/>
      </c>
      <c r="F1422" s="8" t="str">
        <f>IF($G1422="","",INDEX('EDS Lookup'!$G$6:$G$2819,$G1422))</f>
        <v/>
      </c>
      <c r="G1422" t="str">
        <f>IF(1399&lt;=$B$4,IFERROR(MATCH(1399,'EDS Lookup'!$H$6:$H$2819,0),""),"")</f>
        <v/>
      </c>
      <c r="H1422" t="str">
        <f t="shared" si="21"/>
        <v/>
      </c>
    </row>
    <row r="1423" spans="1:8" ht="19.95" customHeight="1">
      <c r="A1423" s="5" t="str">
        <f>IF($G1423="","",INDEX('EDS Lookup'!$D$6:$D$2819,$G1423))</f>
        <v/>
      </c>
      <c r="B1423" s="5" t="str">
        <f>IF($G1423="","",INDEX('EDS Lookup'!$B$6:$B$2819,$G1423))</f>
        <v/>
      </c>
      <c r="C1423" s="17"/>
      <c r="D1423" s="6"/>
      <c r="E1423" s="7" t="str">
        <f>IF($G1423="","",INDEX('EDS Lookup'!$F$6:$F$2819,$G1423))</f>
        <v/>
      </c>
      <c r="F1423" s="8" t="str">
        <f>IF($G1423="","",INDEX('EDS Lookup'!$G$6:$G$2819,$G1423))</f>
        <v/>
      </c>
      <c r="G1423" t="str">
        <f>IF(1400&lt;=$B$4,IFERROR(MATCH(1400,'EDS Lookup'!$H$6:$H$2819,0),""),"")</f>
        <v/>
      </c>
      <c r="H1423" t="str">
        <f t="shared" si="21"/>
        <v/>
      </c>
    </row>
    <row r="1424" spans="1:8" ht="19.95" customHeight="1">
      <c r="A1424" s="5" t="str">
        <f>IF($G1424="","",INDEX('EDS Lookup'!$D$6:$D$2819,$G1424))</f>
        <v/>
      </c>
      <c r="B1424" s="5" t="str">
        <f>IF($G1424="","",INDEX('EDS Lookup'!$B$6:$B$2819,$G1424))</f>
        <v/>
      </c>
      <c r="C1424" s="17"/>
      <c r="D1424" s="6"/>
      <c r="E1424" s="7" t="str">
        <f>IF($G1424="","",INDEX('EDS Lookup'!$F$6:$F$2819,$G1424))</f>
        <v/>
      </c>
      <c r="F1424" s="8" t="str">
        <f>IF($G1424="","",INDEX('EDS Lookup'!$G$6:$G$2819,$G1424))</f>
        <v/>
      </c>
      <c r="G1424" t="str">
        <f>IF(1401&lt;=$B$4,IFERROR(MATCH(1401,'EDS Lookup'!$H$6:$H$2819,0),""),"")</f>
        <v/>
      </c>
      <c r="H1424" t="str">
        <f t="shared" si="21"/>
        <v/>
      </c>
    </row>
    <row r="1425" spans="1:8" ht="19.95" customHeight="1">
      <c r="A1425" s="5" t="str">
        <f>IF($G1425="","",INDEX('EDS Lookup'!$D$6:$D$2819,$G1425))</f>
        <v/>
      </c>
      <c r="B1425" s="5" t="str">
        <f>IF($G1425="","",INDEX('EDS Lookup'!$B$6:$B$2819,$G1425))</f>
        <v/>
      </c>
      <c r="C1425" s="17"/>
      <c r="D1425" s="6"/>
      <c r="E1425" s="7" t="str">
        <f>IF($G1425="","",INDEX('EDS Lookup'!$F$6:$F$2819,$G1425))</f>
        <v/>
      </c>
      <c r="F1425" s="8" t="str">
        <f>IF($G1425="","",INDEX('EDS Lookup'!$G$6:$G$2819,$G1425))</f>
        <v/>
      </c>
      <c r="G1425" t="str">
        <f>IF(1402&lt;=$B$4,IFERROR(MATCH(1402,'EDS Lookup'!$H$6:$H$2819,0),""),"")</f>
        <v/>
      </c>
      <c r="H1425" t="str">
        <f t="shared" si="21"/>
        <v/>
      </c>
    </row>
    <row r="1426" spans="1:8" ht="19.95" customHeight="1">
      <c r="A1426" s="5" t="str">
        <f>IF($G1426="","",INDEX('EDS Lookup'!$D$6:$D$2819,$G1426))</f>
        <v/>
      </c>
      <c r="B1426" s="5" t="str">
        <f>IF($G1426="","",INDEX('EDS Lookup'!$B$6:$B$2819,$G1426))</f>
        <v/>
      </c>
      <c r="C1426" s="17"/>
      <c r="D1426" s="6"/>
      <c r="E1426" s="7" t="str">
        <f>IF($G1426="","",INDEX('EDS Lookup'!$F$6:$F$2819,$G1426))</f>
        <v/>
      </c>
      <c r="F1426" s="8" t="str">
        <f>IF($G1426="","",INDEX('EDS Lookup'!$G$6:$G$2819,$G1426))</f>
        <v/>
      </c>
      <c r="G1426" t="str">
        <f>IF(1403&lt;=$B$4,IFERROR(MATCH(1403,'EDS Lookup'!$H$6:$H$2819,0),""),"")</f>
        <v/>
      </c>
      <c r="H1426" t="str">
        <f t="shared" si="21"/>
        <v/>
      </c>
    </row>
    <row r="1427" spans="1:8" ht="19.95" customHeight="1">
      <c r="A1427" s="5" t="str">
        <f>IF($G1427="","",INDEX('EDS Lookup'!$D$6:$D$2819,$G1427))</f>
        <v/>
      </c>
      <c r="B1427" s="5" t="str">
        <f>IF($G1427="","",INDEX('EDS Lookup'!$B$6:$B$2819,$G1427))</f>
        <v/>
      </c>
      <c r="C1427" s="17"/>
      <c r="D1427" s="6"/>
      <c r="E1427" s="7" t="str">
        <f>IF($G1427="","",INDEX('EDS Lookup'!$F$6:$F$2819,$G1427))</f>
        <v/>
      </c>
      <c r="F1427" s="8" t="str">
        <f>IF($G1427="","",INDEX('EDS Lookup'!$G$6:$G$2819,$G1427))</f>
        <v/>
      </c>
      <c r="G1427" t="str">
        <f>IF(1404&lt;=$B$4,IFERROR(MATCH(1404,'EDS Lookup'!$H$6:$H$2819,0),""),"")</f>
        <v/>
      </c>
      <c r="H1427" t="str">
        <f t="shared" si="21"/>
        <v/>
      </c>
    </row>
    <row r="1428" spans="1:8" ht="19.95" customHeight="1">
      <c r="A1428" s="5" t="str">
        <f>IF($G1428="","",INDEX('EDS Lookup'!$D$6:$D$2819,$G1428))</f>
        <v/>
      </c>
      <c r="B1428" s="5" t="str">
        <f>IF($G1428="","",INDEX('EDS Lookup'!$B$6:$B$2819,$G1428))</f>
        <v/>
      </c>
      <c r="C1428" s="17"/>
      <c r="D1428" s="6"/>
      <c r="E1428" s="7" t="str">
        <f>IF($G1428="","",INDEX('EDS Lookup'!$F$6:$F$2819,$G1428))</f>
        <v/>
      </c>
      <c r="F1428" s="8" t="str">
        <f>IF($G1428="","",INDEX('EDS Lookup'!$G$6:$G$2819,$G1428))</f>
        <v/>
      </c>
      <c r="G1428" t="str">
        <f>IF(1405&lt;=$B$4,IFERROR(MATCH(1405,'EDS Lookup'!$H$6:$H$2819,0),""),"")</f>
        <v/>
      </c>
      <c r="H1428" t="str">
        <f t="shared" si="21"/>
        <v/>
      </c>
    </row>
    <row r="1429" spans="1:8" ht="19.95" customHeight="1">
      <c r="A1429" s="5" t="str">
        <f>IF($G1429="","",INDEX('EDS Lookup'!$D$6:$D$2819,$G1429))</f>
        <v/>
      </c>
      <c r="B1429" s="5" t="str">
        <f>IF($G1429="","",INDEX('EDS Lookup'!$B$6:$B$2819,$G1429))</f>
        <v/>
      </c>
      <c r="C1429" s="17"/>
      <c r="D1429" s="6"/>
      <c r="E1429" s="7" t="str">
        <f>IF($G1429="","",INDEX('EDS Lookup'!$F$6:$F$2819,$G1429))</f>
        <v/>
      </c>
      <c r="F1429" s="8" t="str">
        <f>IF($G1429="","",INDEX('EDS Lookup'!$G$6:$G$2819,$G1429))</f>
        <v/>
      </c>
      <c r="G1429" t="str">
        <f>IF(1406&lt;=$B$4,IFERROR(MATCH(1406,'EDS Lookup'!$H$6:$H$2819,0),""),"")</f>
        <v/>
      </c>
      <c r="H1429" t="str">
        <f t="shared" si="21"/>
        <v/>
      </c>
    </row>
    <row r="1430" spans="1:8" ht="19.95" customHeight="1">
      <c r="A1430" s="5" t="str">
        <f>IF($G1430="","",INDEX('EDS Lookup'!$D$6:$D$2819,$G1430))</f>
        <v/>
      </c>
      <c r="B1430" s="5" t="str">
        <f>IF($G1430="","",INDEX('EDS Lookup'!$B$6:$B$2819,$G1430))</f>
        <v/>
      </c>
      <c r="C1430" s="17"/>
      <c r="D1430" s="6"/>
      <c r="E1430" s="7" t="str">
        <f>IF($G1430="","",INDEX('EDS Lookup'!$F$6:$F$2819,$G1430))</f>
        <v/>
      </c>
      <c r="F1430" s="8" t="str">
        <f>IF($G1430="","",INDEX('EDS Lookup'!$G$6:$G$2819,$G1430))</f>
        <v/>
      </c>
      <c r="G1430" t="str">
        <f>IF(1407&lt;=$B$4,IFERROR(MATCH(1407,'EDS Lookup'!$H$6:$H$2819,0),""),"")</f>
        <v/>
      </c>
      <c r="H1430" t="str">
        <f t="shared" si="21"/>
        <v/>
      </c>
    </row>
    <row r="1431" spans="1:8" ht="19.95" customHeight="1">
      <c r="A1431" s="5" t="str">
        <f>IF($G1431="","",INDEX('EDS Lookup'!$D$6:$D$2819,$G1431))</f>
        <v/>
      </c>
      <c r="B1431" s="5" t="str">
        <f>IF($G1431="","",INDEX('EDS Lookup'!$B$6:$B$2819,$G1431))</f>
        <v/>
      </c>
      <c r="C1431" s="17"/>
      <c r="D1431" s="6"/>
      <c r="E1431" s="7" t="str">
        <f>IF($G1431="","",INDEX('EDS Lookup'!$F$6:$F$2819,$G1431))</f>
        <v/>
      </c>
      <c r="F1431" s="8" t="str">
        <f>IF($G1431="","",INDEX('EDS Lookup'!$G$6:$G$2819,$G1431))</f>
        <v/>
      </c>
      <c r="G1431" t="str">
        <f>IF(1408&lt;=$B$4,IFERROR(MATCH(1408,'EDS Lookup'!$H$6:$H$2819,0),""),"")</f>
        <v/>
      </c>
      <c r="H1431" t="str">
        <f t="shared" si="21"/>
        <v/>
      </c>
    </row>
    <row r="1432" spans="1:8" ht="19.95" customHeight="1">
      <c r="A1432" s="5" t="str">
        <f>IF($G1432="","",INDEX('EDS Lookup'!$D$6:$D$2819,$G1432))</f>
        <v/>
      </c>
      <c r="B1432" s="5" t="str">
        <f>IF($G1432="","",INDEX('EDS Lookup'!$B$6:$B$2819,$G1432))</f>
        <v/>
      </c>
      <c r="C1432" s="17"/>
      <c r="D1432" s="6"/>
      <c r="E1432" s="7" t="str">
        <f>IF($G1432="","",INDEX('EDS Lookup'!$F$6:$F$2819,$G1432))</f>
        <v/>
      </c>
      <c r="F1432" s="8" t="str">
        <f>IF($G1432="","",INDEX('EDS Lookup'!$G$6:$G$2819,$G1432))</f>
        <v/>
      </c>
      <c r="G1432" t="str">
        <f>IF(1409&lt;=$B$4,IFERROR(MATCH(1409,'EDS Lookup'!$H$6:$H$2819,0),""),"")</f>
        <v/>
      </c>
      <c r="H1432" t="str">
        <f t="shared" ref="H1432:H1495" si="22">IF(F1432="&lt;5",5,IF(F1432="&gt;95",95,IF(ISNUMBER(F1432),F1432,"")))</f>
        <v/>
      </c>
    </row>
    <row r="1433" spans="1:8" ht="19.95" customHeight="1">
      <c r="A1433" s="5" t="str">
        <f>IF($G1433="","",INDEX('EDS Lookup'!$D$6:$D$2819,$G1433))</f>
        <v/>
      </c>
      <c r="B1433" s="5" t="str">
        <f>IF($G1433="","",INDEX('EDS Lookup'!$B$6:$B$2819,$G1433))</f>
        <v/>
      </c>
      <c r="C1433" s="17"/>
      <c r="D1433" s="6"/>
      <c r="E1433" s="7" t="str">
        <f>IF($G1433="","",INDEX('EDS Lookup'!$F$6:$F$2819,$G1433))</f>
        <v/>
      </c>
      <c r="F1433" s="8" t="str">
        <f>IF($G1433="","",INDEX('EDS Lookup'!$G$6:$G$2819,$G1433))</f>
        <v/>
      </c>
      <c r="G1433" t="str">
        <f>IF(1410&lt;=$B$4,IFERROR(MATCH(1410,'EDS Lookup'!$H$6:$H$2819,0),""),"")</f>
        <v/>
      </c>
      <c r="H1433" t="str">
        <f t="shared" si="22"/>
        <v/>
      </c>
    </row>
    <row r="1434" spans="1:8" ht="19.95" customHeight="1">
      <c r="A1434" s="5" t="str">
        <f>IF($G1434="","",INDEX('EDS Lookup'!$D$6:$D$2819,$G1434))</f>
        <v/>
      </c>
      <c r="B1434" s="5" t="str">
        <f>IF($G1434="","",INDEX('EDS Lookup'!$B$6:$B$2819,$G1434))</f>
        <v/>
      </c>
      <c r="C1434" s="17"/>
      <c r="D1434" s="6"/>
      <c r="E1434" s="7" t="str">
        <f>IF($G1434="","",INDEX('EDS Lookup'!$F$6:$F$2819,$G1434))</f>
        <v/>
      </c>
      <c r="F1434" s="8" t="str">
        <f>IF($G1434="","",INDEX('EDS Lookup'!$G$6:$G$2819,$G1434))</f>
        <v/>
      </c>
      <c r="G1434" t="str">
        <f>IF(1411&lt;=$B$4,IFERROR(MATCH(1411,'EDS Lookup'!$H$6:$H$2819,0),""),"")</f>
        <v/>
      </c>
      <c r="H1434" t="str">
        <f t="shared" si="22"/>
        <v/>
      </c>
    </row>
    <row r="1435" spans="1:8" ht="19.95" customHeight="1">
      <c r="A1435" s="5" t="str">
        <f>IF($G1435="","",INDEX('EDS Lookup'!$D$6:$D$2819,$G1435))</f>
        <v/>
      </c>
      <c r="B1435" s="5" t="str">
        <f>IF($G1435="","",INDEX('EDS Lookup'!$B$6:$B$2819,$G1435))</f>
        <v/>
      </c>
      <c r="C1435" s="17"/>
      <c r="D1435" s="6"/>
      <c r="E1435" s="7" t="str">
        <f>IF($G1435="","",INDEX('EDS Lookup'!$F$6:$F$2819,$G1435))</f>
        <v/>
      </c>
      <c r="F1435" s="8" t="str">
        <f>IF($G1435="","",INDEX('EDS Lookup'!$G$6:$G$2819,$G1435))</f>
        <v/>
      </c>
      <c r="G1435" t="str">
        <f>IF(1412&lt;=$B$4,IFERROR(MATCH(1412,'EDS Lookup'!$H$6:$H$2819,0),""),"")</f>
        <v/>
      </c>
      <c r="H1435" t="str">
        <f t="shared" si="22"/>
        <v/>
      </c>
    </row>
    <row r="1436" spans="1:8" ht="19.95" customHeight="1">
      <c r="A1436" s="5" t="str">
        <f>IF($G1436="","",INDEX('EDS Lookup'!$D$6:$D$2819,$G1436))</f>
        <v/>
      </c>
      <c r="B1436" s="5" t="str">
        <f>IF($G1436="","",INDEX('EDS Lookup'!$B$6:$B$2819,$G1436))</f>
        <v/>
      </c>
      <c r="C1436" s="17"/>
      <c r="D1436" s="6"/>
      <c r="E1436" s="7" t="str">
        <f>IF($G1436="","",INDEX('EDS Lookup'!$F$6:$F$2819,$G1436))</f>
        <v/>
      </c>
      <c r="F1436" s="8" t="str">
        <f>IF($G1436="","",INDEX('EDS Lookup'!$G$6:$G$2819,$G1436))</f>
        <v/>
      </c>
      <c r="G1436" t="str">
        <f>IF(1413&lt;=$B$4,IFERROR(MATCH(1413,'EDS Lookup'!$H$6:$H$2819,0),""),"")</f>
        <v/>
      </c>
      <c r="H1436" t="str">
        <f t="shared" si="22"/>
        <v/>
      </c>
    </row>
    <row r="1437" spans="1:8" ht="19.95" customHeight="1">
      <c r="A1437" s="5" t="str">
        <f>IF($G1437="","",INDEX('EDS Lookup'!$D$6:$D$2819,$G1437))</f>
        <v/>
      </c>
      <c r="B1437" s="5" t="str">
        <f>IF($G1437="","",INDEX('EDS Lookup'!$B$6:$B$2819,$G1437))</f>
        <v/>
      </c>
      <c r="C1437" s="17"/>
      <c r="D1437" s="6"/>
      <c r="E1437" s="7" t="str">
        <f>IF($G1437="","",INDEX('EDS Lookup'!$F$6:$F$2819,$G1437))</f>
        <v/>
      </c>
      <c r="F1437" s="8" t="str">
        <f>IF($G1437="","",INDEX('EDS Lookup'!$G$6:$G$2819,$G1437))</f>
        <v/>
      </c>
      <c r="G1437" t="str">
        <f>IF(1414&lt;=$B$4,IFERROR(MATCH(1414,'EDS Lookup'!$H$6:$H$2819,0),""),"")</f>
        <v/>
      </c>
      <c r="H1437" t="str">
        <f t="shared" si="22"/>
        <v/>
      </c>
    </row>
    <row r="1438" spans="1:8" ht="19.95" customHeight="1">
      <c r="A1438" s="5" t="str">
        <f>IF($G1438="","",INDEX('EDS Lookup'!$D$6:$D$2819,$G1438))</f>
        <v/>
      </c>
      <c r="B1438" s="5" t="str">
        <f>IF($G1438="","",INDEX('EDS Lookup'!$B$6:$B$2819,$G1438))</f>
        <v/>
      </c>
      <c r="C1438" s="17"/>
      <c r="D1438" s="6"/>
      <c r="E1438" s="7" t="str">
        <f>IF($G1438="","",INDEX('EDS Lookup'!$F$6:$F$2819,$G1438))</f>
        <v/>
      </c>
      <c r="F1438" s="8" t="str">
        <f>IF($G1438="","",INDEX('EDS Lookup'!$G$6:$G$2819,$G1438))</f>
        <v/>
      </c>
      <c r="G1438" t="str">
        <f>IF(1415&lt;=$B$4,IFERROR(MATCH(1415,'EDS Lookup'!$H$6:$H$2819,0),""),"")</f>
        <v/>
      </c>
      <c r="H1438" t="str">
        <f t="shared" si="22"/>
        <v/>
      </c>
    </row>
    <row r="1439" spans="1:8" ht="19.95" customHeight="1">
      <c r="A1439" s="5" t="str">
        <f>IF($G1439="","",INDEX('EDS Lookup'!$D$6:$D$2819,$G1439))</f>
        <v/>
      </c>
      <c r="B1439" s="5" t="str">
        <f>IF($G1439="","",INDEX('EDS Lookup'!$B$6:$B$2819,$G1439))</f>
        <v/>
      </c>
      <c r="C1439" s="17"/>
      <c r="D1439" s="6"/>
      <c r="E1439" s="7" t="str">
        <f>IF($G1439="","",INDEX('EDS Lookup'!$F$6:$F$2819,$G1439))</f>
        <v/>
      </c>
      <c r="F1439" s="8" t="str">
        <f>IF($G1439="","",INDEX('EDS Lookup'!$G$6:$G$2819,$G1439))</f>
        <v/>
      </c>
      <c r="G1439" t="str">
        <f>IF(1416&lt;=$B$4,IFERROR(MATCH(1416,'EDS Lookup'!$H$6:$H$2819,0),""),"")</f>
        <v/>
      </c>
      <c r="H1439" t="str">
        <f t="shared" si="22"/>
        <v/>
      </c>
    </row>
    <row r="1440" spans="1:8" ht="19.95" customHeight="1">
      <c r="A1440" s="5" t="str">
        <f>IF($G1440="","",INDEX('EDS Lookup'!$D$6:$D$2819,$G1440))</f>
        <v/>
      </c>
      <c r="B1440" s="5" t="str">
        <f>IF($G1440="","",INDEX('EDS Lookup'!$B$6:$B$2819,$G1440))</f>
        <v/>
      </c>
      <c r="C1440" s="17"/>
      <c r="D1440" s="6"/>
      <c r="E1440" s="7" t="str">
        <f>IF($G1440="","",INDEX('EDS Lookup'!$F$6:$F$2819,$G1440))</f>
        <v/>
      </c>
      <c r="F1440" s="8" t="str">
        <f>IF($G1440="","",INDEX('EDS Lookup'!$G$6:$G$2819,$G1440))</f>
        <v/>
      </c>
      <c r="G1440" t="str">
        <f>IF(1417&lt;=$B$4,IFERROR(MATCH(1417,'EDS Lookup'!$H$6:$H$2819,0),""),"")</f>
        <v/>
      </c>
      <c r="H1440" t="str">
        <f t="shared" si="22"/>
        <v/>
      </c>
    </row>
    <row r="1441" spans="1:8" ht="19.95" customHeight="1">
      <c r="A1441" s="5" t="str">
        <f>IF($G1441="","",INDEX('EDS Lookup'!$D$6:$D$2819,$G1441))</f>
        <v/>
      </c>
      <c r="B1441" s="5" t="str">
        <f>IF($G1441="","",INDEX('EDS Lookup'!$B$6:$B$2819,$G1441))</f>
        <v/>
      </c>
      <c r="C1441" s="17"/>
      <c r="D1441" s="6"/>
      <c r="E1441" s="7" t="str">
        <f>IF($G1441="","",INDEX('EDS Lookup'!$F$6:$F$2819,$G1441))</f>
        <v/>
      </c>
      <c r="F1441" s="8" t="str">
        <f>IF($G1441="","",INDEX('EDS Lookup'!$G$6:$G$2819,$G1441))</f>
        <v/>
      </c>
      <c r="G1441" t="str">
        <f>IF(1418&lt;=$B$4,IFERROR(MATCH(1418,'EDS Lookup'!$H$6:$H$2819,0),""),"")</f>
        <v/>
      </c>
      <c r="H1441" t="str">
        <f t="shared" si="22"/>
        <v/>
      </c>
    </row>
    <row r="1442" spans="1:8" ht="19.95" customHeight="1">
      <c r="A1442" s="5" t="str">
        <f>IF($G1442="","",INDEX('EDS Lookup'!$D$6:$D$2819,$G1442))</f>
        <v/>
      </c>
      <c r="B1442" s="5" t="str">
        <f>IF($G1442="","",INDEX('EDS Lookup'!$B$6:$B$2819,$G1442))</f>
        <v/>
      </c>
      <c r="C1442" s="17"/>
      <c r="D1442" s="6"/>
      <c r="E1442" s="7" t="str">
        <f>IF($G1442="","",INDEX('EDS Lookup'!$F$6:$F$2819,$G1442))</f>
        <v/>
      </c>
      <c r="F1442" s="8" t="str">
        <f>IF($G1442="","",INDEX('EDS Lookup'!$G$6:$G$2819,$G1442))</f>
        <v/>
      </c>
      <c r="G1442" t="str">
        <f>IF(1419&lt;=$B$4,IFERROR(MATCH(1419,'EDS Lookup'!$H$6:$H$2819,0),""),"")</f>
        <v/>
      </c>
      <c r="H1442" t="str">
        <f t="shared" si="22"/>
        <v/>
      </c>
    </row>
    <row r="1443" spans="1:8" ht="19.95" customHeight="1">
      <c r="A1443" s="5" t="str">
        <f>IF($G1443="","",INDEX('EDS Lookup'!$D$6:$D$2819,$G1443))</f>
        <v/>
      </c>
      <c r="B1443" s="5" t="str">
        <f>IF($G1443="","",INDEX('EDS Lookup'!$B$6:$B$2819,$G1443))</f>
        <v/>
      </c>
      <c r="C1443" s="17"/>
      <c r="D1443" s="6"/>
      <c r="E1443" s="7" t="str">
        <f>IF($G1443="","",INDEX('EDS Lookup'!$F$6:$F$2819,$G1443))</f>
        <v/>
      </c>
      <c r="F1443" s="8" t="str">
        <f>IF($G1443="","",INDEX('EDS Lookup'!$G$6:$G$2819,$G1443))</f>
        <v/>
      </c>
      <c r="G1443" t="str">
        <f>IF(1420&lt;=$B$4,IFERROR(MATCH(1420,'EDS Lookup'!$H$6:$H$2819,0),""),"")</f>
        <v/>
      </c>
      <c r="H1443" t="str">
        <f t="shared" si="22"/>
        <v/>
      </c>
    </row>
    <row r="1444" spans="1:8" ht="19.95" customHeight="1">
      <c r="A1444" s="5" t="str">
        <f>IF($G1444="","",INDEX('EDS Lookup'!$D$6:$D$2819,$G1444))</f>
        <v/>
      </c>
      <c r="B1444" s="5" t="str">
        <f>IF($G1444="","",INDEX('EDS Lookup'!$B$6:$B$2819,$G1444))</f>
        <v/>
      </c>
      <c r="C1444" s="17"/>
      <c r="D1444" s="6"/>
      <c r="E1444" s="7" t="str">
        <f>IF($G1444="","",INDEX('EDS Lookup'!$F$6:$F$2819,$G1444))</f>
        <v/>
      </c>
      <c r="F1444" s="8" t="str">
        <f>IF($G1444="","",INDEX('EDS Lookup'!$G$6:$G$2819,$G1444))</f>
        <v/>
      </c>
      <c r="G1444" t="str">
        <f>IF(1421&lt;=$B$4,IFERROR(MATCH(1421,'EDS Lookup'!$H$6:$H$2819,0),""),"")</f>
        <v/>
      </c>
      <c r="H1444" t="str">
        <f t="shared" si="22"/>
        <v/>
      </c>
    </row>
    <row r="1445" spans="1:8" ht="19.95" customHeight="1">
      <c r="A1445" s="5" t="str">
        <f>IF($G1445="","",INDEX('EDS Lookup'!$D$6:$D$2819,$G1445))</f>
        <v/>
      </c>
      <c r="B1445" s="5" t="str">
        <f>IF($G1445="","",INDEX('EDS Lookup'!$B$6:$B$2819,$G1445))</f>
        <v/>
      </c>
      <c r="C1445" s="17"/>
      <c r="D1445" s="6"/>
      <c r="E1445" s="7" t="str">
        <f>IF($G1445="","",INDEX('EDS Lookup'!$F$6:$F$2819,$G1445))</f>
        <v/>
      </c>
      <c r="F1445" s="8" t="str">
        <f>IF($G1445="","",INDEX('EDS Lookup'!$G$6:$G$2819,$G1445))</f>
        <v/>
      </c>
      <c r="G1445" t="str">
        <f>IF(1422&lt;=$B$4,IFERROR(MATCH(1422,'EDS Lookup'!$H$6:$H$2819,0),""),"")</f>
        <v/>
      </c>
      <c r="H1445" t="str">
        <f t="shared" si="22"/>
        <v/>
      </c>
    </row>
    <row r="1446" spans="1:8" ht="19.95" customHeight="1">
      <c r="A1446" s="5" t="str">
        <f>IF($G1446="","",INDEX('EDS Lookup'!$D$6:$D$2819,$G1446))</f>
        <v/>
      </c>
      <c r="B1446" s="5" t="str">
        <f>IF($G1446="","",INDEX('EDS Lookup'!$B$6:$B$2819,$G1446))</f>
        <v/>
      </c>
      <c r="C1446" s="17"/>
      <c r="D1446" s="6"/>
      <c r="E1446" s="7" t="str">
        <f>IF($G1446="","",INDEX('EDS Lookup'!$F$6:$F$2819,$G1446))</f>
        <v/>
      </c>
      <c r="F1446" s="8" t="str">
        <f>IF($G1446="","",INDEX('EDS Lookup'!$G$6:$G$2819,$G1446))</f>
        <v/>
      </c>
      <c r="G1446" t="str">
        <f>IF(1423&lt;=$B$4,IFERROR(MATCH(1423,'EDS Lookup'!$H$6:$H$2819,0),""),"")</f>
        <v/>
      </c>
      <c r="H1446" t="str">
        <f t="shared" si="22"/>
        <v/>
      </c>
    </row>
    <row r="1447" spans="1:8" ht="19.95" customHeight="1">
      <c r="A1447" s="5" t="str">
        <f>IF($G1447="","",INDEX('EDS Lookup'!$D$6:$D$2819,$G1447))</f>
        <v/>
      </c>
      <c r="B1447" s="5" t="str">
        <f>IF($G1447="","",INDEX('EDS Lookup'!$B$6:$B$2819,$G1447))</f>
        <v/>
      </c>
      <c r="C1447" s="17"/>
      <c r="D1447" s="6"/>
      <c r="E1447" s="7" t="str">
        <f>IF($G1447="","",INDEX('EDS Lookup'!$F$6:$F$2819,$G1447))</f>
        <v/>
      </c>
      <c r="F1447" s="8" t="str">
        <f>IF($G1447="","",INDEX('EDS Lookup'!$G$6:$G$2819,$G1447))</f>
        <v/>
      </c>
      <c r="G1447" t="str">
        <f>IF(1424&lt;=$B$4,IFERROR(MATCH(1424,'EDS Lookup'!$H$6:$H$2819,0),""),"")</f>
        <v/>
      </c>
      <c r="H1447" t="str">
        <f t="shared" si="22"/>
        <v/>
      </c>
    </row>
    <row r="1448" spans="1:8" ht="19.95" customHeight="1">
      <c r="A1448" s="5" t="str">
        <f>IF($G1448="","",INDEX('EDS Lookup'!$D$6:$D$2819,$G1448))</f>
        <v/>
      </c>
      <c r="B1448" s="5" t="str">
        <f>IF($G1448="","",INDEX('EDS Lookup'!$B$6:$B$2819,$G1448))</f>
        <v/>
      </c>
      <c r="C1448" s="17"/>
      <c r="D1448" s="6"/>
      <c r="E1448" s="7" t="str">
        <f>IF($G1448="","",INDEX('EDS Lookup'!$F$6:$F$2819,$G1448))</f>
        <v/>
      </c>
      <c r="F1448" s="8" t="str">
        <f>IF($G1448="","",INDEX('EDS Lookup'!$G$6:$G$2819,$G1448))</f>
        <v/>
      </c>
      <c r="G1448" t="str">
        <f>IF(1425&lt;=$B$4,IFERROR(MATCH(1425,'EDS Lookup'!$H$6:$H$2819,0),""),"")</f>
        <v/>
      </c>
      <c r="H1448" t="str">
        <f t="shared" si="22"/>
        <v/>
      </c>
    </row>
    <row r="1449" spans="1:8" ht="19.95" customHeight="1">
      <c r="A1449" s="5" t="str">
        <f>IF($G1449="","",INDEX('EDS Lookup'!$D$6:$D$2819,$G1449))</f>
        <v/>
      </c>
      <c r="B1449" s="5" t="str">
        <f>IF($G1449="","",INDEX('EDS Lookup'!$B$6:$B$2819,$G1449))</f>
        <v/>
      </c>
      <c r="C1449" s="17"/>
      <c r="D1449" s="6"/>
      <c r="E1449" s="7" t="str">
        <f>IF($G1449="","",INDEX('EDS Lookup'!$F$6:$F$2819,$G1449))</f>
        <v/>
      </c>
      <c r="F1449" s="8" t="str">
        <f>IF($G1449="","",INDEX('EDS Lookup'!$G$6:$G$2819,$G1449))</f>
        <v/>
      </c>
      <c r="G1449" t="str">
        <f>IF(1426&lt;=$B$4,IFERROR(MATCH(1426,'EDS Lookup'!$H$6:$H$2819,0),""),"")</f>
        <v/>
      </c>
      <c r="H1449" t="str">
        <f t="shared" si="22"/>
        <v/>
      </c>
    </row>
    <row r="1450" spans="1:8" ht="19.95" customHeight="1">
      <c r="A1450" s="5" t="str">
        <f>IF($G1450="","",INDEX('EDS Lookup'!$D$6:$D$2819,$G1450))</f>
        <v/>
      </c>
      <c r="B1450" s="5" t="str">
        <f>IF($G1450="","",INDEX('EDS Lookup'!$B$6:$B$2819,$G1450))</f>
        <v/>
      </c>
      <c r="C1450" s="17"/>
      <c r="D1450" s="6"/>
      <c r="E1450" s="7" t="str">
        <f>IF($G1450="","",INDEX('EDS Lookup'!$F$6:$F$2819,$G1450))</f>
        <v/>
      </c>
      <c r="F1450" s="8" t="str">
        <f>IF($G1450="","",INDEX('EDS Lookup'!$G$6:$G$2819,$G1450))</f>
        <v/>
      </c>
      <c r="G1450" t="str">
        <f>IF(1427&lt;=$B$4,IFERROR(MATCH(1427,'EDS Lookup'!$H$6:$H$2819,0),""),"")</f>
        <v/>
      </c>
      <c r="H1450" t="str">
        <f t="shared" si="22"/>
        <v/>
      </c>
    </row>
    <row r="1451" spans="1:8" ht="19.95" customHeight="1">
      <c r="A1451" s="5" t="str">
        <f>IF($G1451="","",INDEX('EDS Lookup'!$D$6:$D$2819,$G1451))</f>
        <v/>
      </c>
      <c r="B1451" s="5" t="str">
        <f>IF($G1451="","",INDEX('EDS Lookup'!$B$6:$B$2819,$G1451))</f>
        <v/>
      </c>
      <c r="C1451" s="17"/>
      <c r="D1451" s="6"/>
      <c r="E1451" s="7" t="str">
        <f>IF($G1451="","",INDEX('EDS Lookup'!$F$6:$F$2819,$G1451))</f>
        <v/>
      </c>
      <c r="F1451" s="8" t="str">
        <f>IF($G1451="","",INDEX('EDS Lookup'!$G$6:$G$2819,$G1451))</f>
        <v/>
      </c>
      <c r="G1451" t="str">
        <f>IF(1428&lt;=$B$4,IFERROR(MATCH(1428,'EDS Lookup'!$H$6:$H$2819,0),""),"")</f>
        <v/>
      </c>
      <c r="H1451" t="str">
        <f t="shared" si="22"/>
        <v/>
      </c>
    </row>
    <row r="1452" spans="1:8" ht="19.95" customHeight="1">
      <c r="A1452" s="5" t="str">
        <f>IF($G1452="","",INDEX('EDS Lookup'!$D$6:$D$2819,$G1452))</f>
        <v/>
      </c>
      <c r="B1452" s="5" t="str">
        <f>IF($G1452="","",INDEX('EDS Lookup'!$B$6:$B$2819,$G1452))</f>
        <v/>
      </c>
      <c r="C1452" s="17"/>
      <c r="D1452" s="6"/>
      <c r="E1452" s="7" t="str">
        <f>IF($G1452="","",INDEX('EDS Lookup'!$F$6:$F$2819,$G1452))</f>
        <v/>
      </c>
      <c r="F1452" s="8" t="str">
        <f>IF($G1452="","",INDEX('EDS Lookup'!$G$6:$G$2819,$G1452))</f>
        <v/>
      </c>
      <c r="G1452" t="str">
        <f>IF(1429&lt;=$B$4,IFERROR(MATCH(1429,'EDS Lookup'!$H$6:$H$2819,0),""),"")</f>
        <v/>
      </c>
      <c r="H1452" t="str">
        <f t="shared" si="22"/>
        <v/>
      </c>
    </row>
    <row r="1453" spans="1:8" ht="19.95" customHeight="1">
      <c r="A1453" s="5" t="str">
        <f>IF($G1453="","",INDEX('EDS Lookup'!$D$6:$D$2819,$G1453))</f>
        <v/>
      </c>
      <c r="B1453" s="5" t="str">
        <f>IF($G1453="","",INDEX('EDS Lookup'!$B$6:$B$2819,$G1453))</f>
        <v/>
      </c>
      <c r="C1453" s="17"/>
      <c r="D1453" s="6"/>
      <c r="E1453" s="7" t="str">
        <f>IF($G1453="","",INDEX('EDS Lookup'!$F$6:$F$2819,$G1453))</f>
        <v/>
      </c>
      <c r="F1453" s="8" t="str">
        <f>IF($G1453="","",INDEX('EDS Lookup'!$G$6:$G$2819,$G1453))</f>
        <v/>
      </c>
      <c r="G1453" t="str">
        <f>IF(1430&lt;=$B$4,IFERROR(MATCH(1430,'EDS Lookup'!$H$6:$H$2819,0),""),"")</f>
        <v/>
      </c>
      <c r="H1453" t="str">
        <f t="shared" si="22"/>
        <v/>
      </c>
    </row>
    <row r="1454" spans="1:8" ht="19.95" customHeight="1">
      <c r="A1454" s="5" t="str">
        <f>IF($G1454="","",INDEX('EDS Lookup'!$D$6:$D$2819,$G1454))</f>
        <v/>
      </c>
      <c r="B1454" s="5" t="str">
        <f>IF($G1454="","",INDEX('EDS Lookup'!$B$6:$B$2819,$G1454))</f>
        <v/>
      </c>
      <c r="C1454" s="17"/>
      <c r="D1454" s="6"/>
      <c r="E1454" s="7" t="str">
        <f>IF($G1454="","",INDEX('EDS Lookup'!$F$6:$F$2819,$G1454))</f>
        <v/>
      </c>
      <c r="F1454" s="8" t="str">
        <f>IF($G1454="","",INDEX('EDS Lookup'!$G$6:$G$2819,$G1454))</f>
        <v/>
      </c>
      <c r="G1454" t="str">
        <f>IF(1431&lt;=$B$4,IFERROR(MATCH(1431,'EDS Lookup'!$H$6:$H$2819,0),""),"")</f>
        <v/>
      </c>
      <c r="H1454" t="str">
        <f t="shared" si="22"/>
        <v/>
      </c>
    </row>
    <row r="1455" spans="1:8" ht="19.95" customHeight="1">
      <c r="A1455" s="5" t="str">
        <f>IF($G1455="","",INDEX('EDS Lookup'!$D$6:$D$2819,$G1455))</f>
        <v/>
      </c>
      <c r="B1455" s="5" t="str">
        <f>IF($G1455="","",INDEX('EDS Lookup'!$B$6:$B$2819,$G1455))</f>
        <v/>
      </c>
      <c r="C1455" s="17"/>
      <c r="D1455" s="6"/>
      <c r="E1455" s="7" t="str">
        <f>IF($G1455="","",INDEX('EDS Lookup'!$F$6:$F$2819,$G1455))</f>
        <v/>
      </c>
      <c r="F1455" s="8" t="str">
        <f>IF($G1455="","",INDEX('EDS Lookup'!$G$6:$G$2819,$G1455))</f>
        <v/>
      </c>
      <c r="G1455" t="str">
        <f>IF(1432&lt;=$B$4,IFERROR(MATCH(1432,'EDS Lookup'!$H$6:$H$2819,0),""),"")</f>
        <v/>
      </c>
      <c r="H1455" t="str">
        <f t="shared" si="22"/>
        <v/>
      </c>
    </row>
    <row r="1456" spans="1:8" ht="19.95" customHeight="1">
      <c r="A1456" s="5" t="str">
        <f>IF($G1456="","",INDEX('EDS Lookup'!$D$6:$D$2819,$G1456))</f>
        <v/>
      </c>
      <c r="B1456" s="5" t="str">
        <f>IF($G1456="","",INDEX('EDS Lookup'!$B$6:$B$2819,$G1456))</f>
        <v/>
      </c>
      <c r="C1456" s="17"/>
      <c r="D1456" s="6"/>
      <c r="E1456" s="7" t="str">
        <f>IF($G1456="","",INDEX('EDS Lookup'!$F$6:$F$2819,$G1456))</f>
        <v/>
      </c>
      <c r="F1456" s="8" t="str">
        <f>IF($G1456="","",INDEX('EDS Lookup'!$G$6:$G$2819,$G1456))</f>
        <v/>
      </c>
      <c r="G1456" t="str">
        <f>IF(1433&lt;=$B$4,IFERROR(MATCH(1433,'EDS Lookup'!$H$6:$H$2819,0),""),"")</f>
        <v/>
      </c>
      <c r="H1456" t="str">
        <f t="shared" si="22"/>
        <v/>
      </c>
    </row>
    <row r="1457" spans="1:8" ht="19.95" customHeight="1">
      <c r="A1457" s="5" t="str">
        <f>IF($G1457="","",INDEX('EDS Lookup'!$D$6:$D$2819,$G1457))</f>
        <v/>
      </c>
      <c r="B1457" s="5" t="str">
        <f>IF($G1457="","",INDEX('EDS Lookup'!$B$6:$B$2819,$G1457))</f>
        <v/>
      </c>
      <c r="C1457" s="17"/>
      <c r="D1457" s="6"/>
      <c r="E1457" s="7" t="str">
        <f>IF($G1457="","",INDEX('EDS Lookup'!$F$6:$F$2819,$G1457))</f>
        <v/>
      </c>
      <c r="F1457" s="8" t="str">
        <f>IF($G1457="","",INDEX('EDS Lookup'!$G$6:$G$2819,$G1457))</f>
        <v/>
      </c>
      <c r="G1457" t="str">
        <f>IF(1434&lt;=$B$4,IFERROR(MATCH(1434,'EDS Lookup'!$H$6:$H$2819,0),""),"")</f>
        <v/>
      </c>
      <c r="H1457" t="str">
        <f t="shared" si="22"/>
        <v/>
      </c>
    </row>
    <row r="1458" spans="1:8" ht="19.95" customHeight="1">
      <c r="A1458" s="5" t="str">
        <f>IF($G1458="","",INDEX('EDS Lookup'!$D$6:$D$2819,$G1458))</f>
        <v/>
      </c>
      <c r="B1458" s="5" t="str">
        <f>IF($G1458="","",INDEX('EDS Lookup'!$B$6:$B$2819,$G1458))</f>
        <v/>
      </c>
      <c r="C1458" s="17"/>
      <c r="D1458" s="6"/>
      <c r="E1458" s="7" t="str">
        <f>IF($G1458="","",INDEX('EDS Lookup'!$F$6:$F$2819,$G1458))</f>
        <v/>
      </c>
      <c r="F1458" s="8" t="str">
        <f>IF($G1458="","",INDEX('EDS Lookup'!$G$6:$G$2819,$G1458))</f>
        <v/>
      </c>
      <c r="G1458" t="str">
        <f>IF(1435&lt;=$B$4,IFERROR(MATCH(1435,'EDS Lookup'!$H$6:$H$2819,0),""),"")</f>
        <v/>
      </c>
      <c r="H1458" t="str">
        <f t="shared" si="22"/>
        <v/>
      </c>
    </row>
    <row r="1459" spans="1:8" ht="19.95" customHeight="1">
      <c r="A1459" s="5" t="str">
        <f>IF($G1459="","",INDEX('EDS Lookup'!$D$6:$D$2819,$G1459))</f>
        <v/>
      </c>
      <c r="B1459" s="5" t="str">
        <f>IF($G1459="","",INDEX('EDS Lookup'!$B$6:$B$2819,$G1459))</f>
        <v/>
      </c>
      <c r="C1459" s="17"/>
      <c r="D1459" s="6"/>
      <c r="E1459" s="7" t="str">
        <f>IF($G1459="","",INDEX('EDS Lookup'!$F$6:$F$2819,$G1459))</f>
        <v/>
      </c>
      <c r="F1459" s="8" t="str">
        <f>IF($G1459="","",INDEX('EDS Lookup'!$G$6:$G$2819,$G1459))</f>
        <v/>
      </c>
      <c r="G1459" t="str">
        <f>IF(1436&lt;=$B$4,IFERROR(MATCH(1436,'EDS Lookup'!$H$6:$H$2819,0),""),"")</f>
        <v/>
      </c>
      <c r="H1459" t="str">
        <f t="shared" si="22"/>
        <v/>
      </c>
    </row>
    <row r="1460" spans="1:8" ht="19.95" customHeight="1">
      <c r="A1460" s="5" t="str">
        <f>IF($G1460="","",INDEX('EDS Lookup'!$D$6:$D$2819,$G1460))</f>
        <v/>
      </c>
      <c r="B1460" s="5" t="str">
        <f>IF($G1460="","",INDEX('EDS Lookup'!$B$6:$B$2819,$G1460))</f>
        <v/>
      </c>
      <c r="C1460" s="17"/>
      <c r="D1460" s="6"/>
      <c r="E1460" s="7" t="str">
        <f>IF($G1460="","",INDEX('EDS Lookup'!$F$6:$F$2819,$G1460))</f>
        <v/>
      </c>
      <c r="F1460" s="8" t="str">
        <f>IF($G1460="","",INDEX('EDS Lookup'!$G$6:$G$2819,$G1460))</f>
        <v/>
      </c>
      <c r="G1460" t="str">
        <f>IF(1437&lt;=$B$4,IFERROR(MATCH(1437,'EDS Lookup'!$H$6:$H$2819,0),""),"")</f>
        <v/>
      </c>
      <c r="H1460" t="str">
        <f t="shared" si="22"/>
        <v/>
      </c>
    </row>
    <row r="1461" spans="1:8" ht="19.95" customHeight="1">
      <c r="A1461" s="5" t="str">
        <f>IF($G1461="","",INDEX('EDS Lookup'!$D$6:$D$2819,$G1461))</f>
        <v/>
      </c>
      <c r="B1461" s="5" t="str">
        <f>IF($G1461="","",INDEX('EDS Lookup'!$B$6:$B$2819,$G1461))</f>
        <v/>
      </c>
      <c r="C1461" s="17"/>
      <c r="D1461" s="6"/>
      <c r="E1461" s="7" t="str">
        <f>IF($G1461="","",INDEX('EDS Lookup'!$F$6:$F$2819,$G1461))</f>
        <v/>
      </c>
      <c r="F1461" s="8" t="str">
        <f>IF($G1461="","",INDEX('EDS Lookup'!$G$6:$G$2819,$G1461))</f>
        <v/>
      </c>
      <c r="G1461" t="str">
        <f>IF(1438&lt;=$B$4,IFERROR(MATCH(1438,'EDS Lookup'!$H$6:$H$2819,0),""),"")</f>
        <v/>
      </c>
      <c r="H1461" t="str">
        <f t="shared" si="22"/>
        <v/>
      </c>
    </row>
    <row r="1462" spans="1:8" ht="19.95" customHeight="1">
      <c r="A1462" s="5" t="str">
        <f>IF($G1462="","",INDEX('EDS Lookup'!$D$6:$D$2819,$G1462))</f>
        <v/>
      </c>
      <c r="B1462" s="5" t="str">
        <f>IF($G1462="","",INDEX('EDS Lookup'!$B$6:$B$2819,$G1462))</f>
        <v/>
      </c>
      <c r="C1462" s="17"/>
      <c r="D1462" s="6"/>
      <c r="E1462" s="7" t="str">
        <f>IF($G1462="","",INDEX('EDS Lookup'!$F$6:$F$2819,$G1462))</f>
        <v/>
      </c>
      <c r="F1462" s="8" t="str">
        <f>IF($G1462="","",INDEX('EDS Lookup'!$G$6:$G$2819,$G1462))</f>
        <v/>
      </c>
      <c r="G1462" t="str">
        <f>IF(1439&lt;=$B$4,IFERROR(MATCH(1439,'EDS Lookup'!$H$6:$H$2819,0),""),"")</f>
        <v/>
      </c>
      <c r="H1462" t="str">
        <f t="shared" si="22"/>
        <v/>
      </c>
    </row>
    <row r="1463" spans="1:8" ht="19.95" customHeight="1">
      <c r="A1463" s="5" t="str">
        <f>IF($G1463="","",INDEX('EDS Lookup'!$D$6:$D$2819,$G1463))</f>
        <v/>
      </c>
      <c r="B1463" s="5" t="str">
        <f>IF($G1463="","",INDEX('EDS Lookup'!$B$6:$B$2819,$G1463))</f>
        <v/>
      </c>
      <c r="C1463" s="17"/>
      <c r="D1463" s="6"/>
      <c r="E1463" s="7" t="str">
        <f>IF($G1463="","",INDEX('EDS Lookup'!$F$6:$F$2819,$G1463))</f>
        <v/>
      </c>
      <c r="F1463" s="8" t="str">
        <f>IF($G1463="","",INDEX('EDS Lookup'!$G$6:$G$2819,$G1463))</f>
        <v/>
      </c>
      <c r="G1463" t="str">
        <f>IF(1440&lt;=$B$4,IFERROR(MATCH(1440,'EDS Lookup'!$H$6:$H$2819,0),""),"")</f>
        <v/>
      </c>
      <c r="H1463" t="str">
        <f t="shared" si="22"/>
        <v/>
      </c>
    </row>
    <row r="1464" spans="1:8" ht="19.95" customHeight="1">
      <c r="A1464" s="5" t="str">
        <f>IF($G1464="","",INDEX('EDS Lookup'!$D$6:$D$2819,$G1464))</f>
        <v/>
      </c>
      <c r="B1464" s="5" t="str">
        <f>IF($G1464="","",INDEX('EDS Lookup'!$B$6:$B$2819,$G1464))</f>
        <v/>
      </c>
      <c r="C1464" s="17"/>
      <c r="D1464" s="6"/>
      <c r="E1464" s="7" t="str">
        <f>IF($G1464="","",INDEX('EDS Lookup'!$F$6:$F$2819,$G1464))</f>
        <v/>
      </c>
      <c r="F1464" s="8" t="str">
        <f>IF($G1464="","",INDEX('EDS Lookup'!$G$6:$G$2819,$G1464))</f>
        <v/>
      </c>
      <c r="G1464" t="str">
        <f>IF(1441&lt;=$B$4,IFERROR(MATCH(1441,'EDS Lookup'!$H$6:$H$2819,0),""),"")</f>
        <v/>
      </c>
      <c r="H1464" t="str">
        <f t="shared" si="22"/>
        <v/>
      </c>
    </row>
    <row r="1465" spans="1:8" ht="19.95" customHeight="1">
      <c r="A1465" s="5" t="str">
        <f>IF($G1465="","",INDEX('EDS Lookup'!$D$6:$D$2819,$G1465))</f>
        <v/>
      </c>
      <c r="B1465" s="5" t="str">
        <f>IF($G1465="","",INDEX('EDS Lookup'!$B$6:$B$2819,$G1465))</f>
        <v/>
      </c>
      <c r="C1465" s="17"/>
      <c r="D1465" s="6"/>
      <c r="E1465" s="7" t="str">
        <f>IF($G1465="","",INDEX('EDS Lookup'!$F$6:$F$2819,$G1465))</f>
        <v/>
      </c>
      <c r="F1465" s="8" t="str">
        <f>IF($G1465="","",INDEX('EDS Lookup'!$G$6:$G$2819,$G1465))</f>
        <v/>
      </c>
      <c r="G1465" t="str">
        <f>IF(1442&lt;=$B$4,IFERROR(MATCH(1442,'EDS Lookup'!$H$6:$H$2819,0),""),"")</f>
        <v/>
      </c>
      <c r="H1465" t="str">
        <f t="shared" si="22"/>
        <v/>
      </c>
    </row>
    <row r="1466" spans="1:8" ht="19.95" customHeight="1">
      <c r="A1466" s="5" t="str">
        <f>IF($G1466="","",INDEX('EDS Lookup'!$D$6:$D$2819,$G1466))</f>
        <v/>
      </c>
      <c r="B1466" s="5" t="str">
        <f>IF($G1466="","",INDEX('EDS Lookup'!$B$6:$B$2819,$G1466))</f>
        <v/>
      </c>
      <c r="C1466" s="17"/>
      <c r="D1466" s="6"/>
      <c r="E1466" s="7" t="str">
        <f>IF($G1466="","",INDEX('EDS Lookup'!$F$6:$F$2819,$G1466))</f>
        <v/>
      </c>
      <c r="F1466" s="8" t="str">
        <f>IF($G1466="","",INDEX('EDS Lookup'!$G$6:$G$2819,$G1466))</f>
        <v/>
      </c>
      <c r="G1466" t="str">
        <f>IF(1443&lt;=$B$4,IFERROR(MATCH(1443,'EDS Lookup'!$H$6:$H$2819,0),""),"")</f>
        <v/>
      </c>
      <c r="H1466" t="str">
        <f t="shared" si="22"/>
        <v/>
      </c>
    </row>
    <row r="1467" spans="1:8" ht="19.95" customHeight="1">
      <c r="A1467" s="5" t="str">
        <f>IF($G1467="","",INDEX('EDS Lookup'!$D$6:$D$2819,$G1467))</f>
        <v/>
      </c>
      <c r="B1467" s="5" t="str">
        <f>IF($G1467="","",INDEX('EDS Lookup'!$B$6:$B$2819,$G1467))</f>
        <v/>
      </c>
      <c r="C1467" s="17"/>
      <c r="D1467" s="6"/>
      <c r="E1467" s="7" t="str">
        <f>IF($G1467="","",INDEX('EDS Lookup'!$F$6:$F$2819,$G1467))</f>
        <v/>
      </c>
      <c r="F1467" s="8" t="str">
        <f>IF($G1467="","",INDEX('EDS Lookup'!$G$6:$G$2819,$G1467))</f>
        <v/>
      </c>
      <c r="G1467" t="str">
        <f>IF(1444&lt;=$B$4,IFERROR(MATCH(1444,'EDS Lookup'!$H$6:$H$2819,0),""),"")</f>
        <v/>
      </c>
      <c r="H1467" t="str">
        <f t="shared" si="22"/>
        <v/>
      </c>
    </row>
    <row r="1468" spans="1:8" ht="19.95" customHeight="1">
      <c r="A1468" s="5" t="str">
        <f>IF($G1468="","",INDEX('EDS Lookup'!$D$6:$D$2819,$G1468))</f>
        <v/>
      </c>
      <c r="B1468" s="5" t="str">
        <f>IF($G1468="","",INDEX('EDS Lookup'!$B$6:$B$2819,$G1468))</f>
        <v/>
      </c>
      <c r="C1468" s="17"/>
      <c r="D1468" s="6"/>
      <c r="E1468" s="7" t="str">
        <f>IF($G1468="","",INDEX('EDS Lookup'!$F$6:$F$2819,$G1468))</f>
        <v/>
      </c>
      <c r="F1468" s="8" t="str">
        <f>IF($G1468="","",INDEX('EDS Lookup'!$G$6:$G$2819,$G1468))</f>
        <v/>
      </c>
      <c r="G1468" t="str">
        <f>IF(1445&lt;=$B$4,IFERROR(MATCH(1445,'EDS Lookup'!$H$6:$H$2819,0),""),"")</f>
        <v/>
      </c>
      <c r="H1468" t="str">
        <f t="shared" si="22"/>
        <v/>
      </c>
    </row>
    <row r="1469" spans="1:8" ht="19.95" customHeight="1">
      <c r="A1469" s="5" t="str">
        <f>IF($G1469="","",INDEX('EDS Lookup'!$D$6:$D$2819,$G1469))</f>
        <v/>
      </c>
      <c r="B1469" s="5" t="str">
        <f>IF($G1469="","",INDEX('EDS Lookup'!$B$6:$B$2819,$G1469))</f>
        <v/>
      </c>
      <c r="C1469" s="17"/>
      <c r="D1469" s="6"/>
      <c r="E1469" s="7" t="str">
        <f>IF($G1469="","",INDEX('EDS Lookup'!$F$6:$F$2819,$G1469))</f>
        <v/>
      </c>
      <c r="F1469" s="8" t="str">
        <f>IF($G1469="","",INDEX('EDS Lookup'!$G$6:$G$2819,$G1469))</f>
        <v/>
      </c>
      <c r="G1469" t="str">
        <f>IF(1446&lt;=$B$4,IFERROR(MATCH(1446,'EDS Lookup'!$H$6:$H$2819,0),""),"")</f>
        <v/>
      </c>
      <c r="H1469" t="str">
        <f t="shared" si="22"/>
        <v/>
      </c>
    </row>
    <row r="1470" spans="1:8" ht="19.95" customHeight="1">
      <c r="A1470" s="5" t="str">
        <f>IF($G1470="","",INDEX('EDS Lookup'!$D$6:$D$2819,$G1470))</f>
        <v/>
      </c>
      <c r="B1470" s="5" t="str">
        <f>IF($G1470="","",INDEX('EDS Lookup'!$B$6:$B$2819,$G1470))</f>
        <v/>
      </c>
      <c r="C1470" s="17"/>
      <c r="D1470" s="6"/>
      <c r="E1470" s="7" t="str">
        <f>IF($G1470="","",INDEX('EDS Lookup'!$F$6:$F$2819,$G1470))</f>
        <v/>
      </c>
      <c r="F1470" s="8" t="str">
        <f>IF($G1470="","",INDEX('EDS Lookup'!$G$6:$G$2819,$G1470))</f>
        <v/>
      </c>
      <c r="G1470" t="str">
        <f>IF(1447&lt;=$B$4,IFERROR(MATCH(1447,'EDS Lookup'!$H$6:$H$2819,0),""),"")</f>
        <v/>
      </c>
      <c r="H1470" t="str">
        <f t="shared" si="22"/>
        <v/>
      </c>
    </row>
    <row r="1471" spans="1:8" ht="19.95" customHeight="1">
      <c r="A1471" s="5" t="str">
        <f>IF($G1471="","",INDEX('EDS Lookup'!$D$6:$D$2819,$G1471))</f>
        <v/>
      </c>
      <c r="B1471" s="5" t="str">
        <f>IF($G1471="","",INDEX('EDS Lookup'!$B$6:$B$2819,$G1471))</f>
        <v/>
      </c>
      <c r="C1471" s="17"/>
      <c r="D1471" s="6"/>
      <c r="E1471" s="7" t="str">
        <f>IF($G1471="","",INDEX('EDS Lookup'!$F$6:$F$2819,$G1471))</f>
        <v/>
      </c>
      <c r="F1471" s="8" t="str">
        <f>IF($G1471="","",INDEX('EDS Lookup'!$G$6:$G$2819,$G1471))</f>
        <v/>
      </c>
      <c r="G1471" t="str">
        <f>IF(1448&lt;=$B$4,IFERROR(MATCH(1448,'EDS Lookup'!$H$6:$H$2819,0),""),"")</f>
        <v/>
      </c>
      <c r="H1471" t="str">
        <f t="shared" si="22"/>
        <v/>
      </c>
    </row>
    <row r="1472" spans="1:8" ht="19.95" customHeight="1">
      <c r="A1472" s="5" t="str">
        <f>IF($G1472="","",INDEX('EDS Lookup'!$D$6:$D$2819,$G1472))</f>
        <v/>
      </c>
      <c r="B1472" s="5" t="str">
        <f>IF($G1472="","",INDEX('EDS Lookup'!$B$6:$B$2819,$G1472))</f>
        <v/>
      </c>
      <c r="C1472" s="17"/>
      <c r="D1472" s="6"/>
      <c r="E1472" s="7" t="str">
        <f>IF($G1472="","",INDEX('EDS Lookup'!$F$6:$F$2819,$G1472))</f>
        <v/>
      </c>
      <c r="F1472" s="8" t="str">
        <f>IF($G1472="","",INDEX('EDS Lookup'!$G$6:$G$2819,$G1472))</f>
        <v/>
      </c>
      <c r="G1472" t="str">
        <f>IF(1449&lt;=$B$4,IFERROR(MATCH(1449,'EDS Lookup'!$H$6:$H$2819,0),""),"")</f>
        <v/>
      </c>
      <c r="H1472" t="str">
        <f t="shared" si="22"/>
        <v/>
      </c>
    </row>
    <row r="1473" spans="1:8" ht="19.95" customHeight="1">
      <c r="A1473" s="5" t="str">
        <f>IF($G1473="","",INDEX('EDS Lookup'!$D$6:$D$2819,$G1473))</f>
        <v/>
      </c>
      <c r="B1473" s="5" t="str">
        <f>IF($G1473="","",INDEX('EDS Lookup'!$B$6:$B$2819,$G1473))</f>
        <v/>
      </c>
      <c r="C1473" s="17"/>
      <c r="D1473" s="6"/>
      <c r="E1473" s="7" t="str">
        <f>IF($G1473="","",INDEX('EDS Lookup'!$F$6:$F$2819,$G1473))</f>
        <v/>
      </c>
      <c r="F1473" s="8" t="str">
        <f>IF($G1473="","",INDEX('EDS Lookup'!$G$6:$G$2819,$G1473))</f>
        <v/>
      </c>
      <c r="G1473" t="str">
        <f>IF(1450&lt;=$B$4,IFERROR(MATCH(1450,'EDS Lookup'!$H$6:$H$2819,0),""),"")</f>
        <v/>
      </c>
      <c r="H1473" t="str">
        <f t="shared" si="22"/>
        <v/>
      </c>
    </row>
    <row r="1474" spans="1:8" ht="19.95" customHeight="1">
      <c r="A1474" s="5" t="str">
        <f>IF($G1474="","",INDEX('EDS Lookup'!$D$6:$D$2819,$G1474))</f>
        <v/>
      </c>
      <c r="B1474" s="5" t="str">
        <f>IF($G1474="","",INDEX('EDS Lookup'!$B$6:$B$2819,$G1474))</f>
        <v/>
      </c>
      <c r="C1474" s="17"/>
      <c r="D1474" s="6"/>
      <c r="E1474" s="7" t="str">
        <f>IF($G1474="","",INDEX('EDS Lookup'!$F$6:$F$2819,$G1474))</f>
        <v/>
      </c>
      <c r="F1474" s="8" t="str">
        <f>IF($G1474="","",INDEX('EDS Lookup'!$G$6:$G$2819,$G1474))</f>
        <v/>
      </c>
      <c r="G1474" t="str">
        <f>IF(1451&lt;=$B$4,IFERROR(MATCH(1451,'EDS Lookup'!$H$6:$H$2819,0),""),"")</f>
        <v/>
      </c>
      <c r="H1474" t="str">
        <f t="shared" si="22"/>
        <v/>
      </c>
    </row>
    <row r="1475" spans="1:8" ht="19.95" customHeight="1">
      <c r="A1475" s="5" t="str">
        <f>IF($G1475="","",INDEX('EDS Lookup'!$D$6:$D$2819,$G1475))</f>
        <v/>
      </c>
      <c r="B1475" s="5" t="str">
        <f>IF($G1475="","",INDEX('EDS Lookup'!$B$6:$B$2819,$G1475))</f>
        <v/>
      </c>
      <c r="C1475" s="17"/>
      <c r="D1475" s="6"/>
      <c r="E1475" s="7" t="str">
        <f>IF($G1475="","",INDEX('EDS Lookup'!$F$6:$F$2819,$G1475))</f>
        <v/>
      </c>
      <c r="F1475" s="8" t="str">
        <f>IF($G1475="","",INDEX('EDS Lookup'!$G$6:$G$2819,$G1475))</f>
        <v/>
      </c>
      <c r="G1475" t="str">
        <f>IF(1452&lt;=$B$4,IFERROR(MATCH(1452,'EDS Lookup'!$H$6:$H$2819,0),""),"")</f>
        <v/>
      </c>
      <c r="H1475" t="str">
        <f t="shared" si="22"/>
        <v/>
      </c>
    </row>
    <row r="1476" spans="1:8" ht="19.95" customHeight="1">
      <c r="A1476" s="5" t="str">
        <f>IF($G1476="","",INDEX('EDS Lookup'!$D$6:$D$2819,$G1476))</f>
        <v/>
      </c>
      <c r="B1476" s="5" t="str">
        <f>IF($G1476="","",INDEX('EDS Lookup'!$B$6:$B$2819,$G1476))</f>
        <v/>
      </c>
      <c r="C1476" s="17"/>
      <c r="D1476" s="6"/>
      <c r="E1476" s="7" t="str">
        <f>IF($G1476="","",INDEX('EDS Lookup'!$F$6:$F$2819,$G1476))</f>
        <v/>
      </c>
      <c r="F1476" s="8" t="str">
        <f>IF($G1476="","",INDEX('EDS Lookup'!$G$6:$G$2819,$G1476))</f>
        <v/>
      </c>
      <c r="G1476" t="str">
        <f>IF(1453&lt;=$B$4,IFERROR(MATCH(1453,'EDS Lookup'!$H$6:$H$2819,0),""),"")</f>
        <v/>
      </c>
      <c r="H1476" t="str">
        <f t="shared" si="22"/>
        <v/>
      </c>
    </row>
    <row r="1477" spans="1:8" ht="19.95" customHeight="1">
      <c r="A1477" s="5" t="str">
        <f>IF($G1477="","",INDEX('EDS Lookup'!$D$6:$D$2819,$G1477))</f>
        <v/>
      </c>
      <c r="B1477" s="5" t="str">
        <f>IF($G1477="","",INDEX('EDS Lookup'!$B$6:$B$2819,$G1477))</f>
        <v/>
      </c>
      <c r="C1477" s="17"/>
      <c r="D1477" s="6"/>
      <c r="E1477" s="7" t="str">
        <f>IF($G1477="","",INDEX('EDS Lookup'!$F$6:$F$2819,$G1477))</f>
        <v/>
      </c>
      <c r="F1477" s="8" t="str">
        <f>IF($G1477="","",INDEX('EDS Lookup'!$G$6:$G$2819,$G1477))</f>
        <v/>
      </c>
      <c r="G1477" t="str">
        <f>IF(1454&lt;=$B$4,IFERROR(MATCH(1454,'EDS Lookup'!$H$6:$H$2819,0),""),"")</f>
        <v/>
      </c>
      <c r="H1477" t="str">
        <f t="shared" si="22"/>
        <v/>
      </c>
    </row>
    <row r="1478" spans="1:8" ht="19.95" customHeight="1">
      <c r="A1478" s="5" t="str">
        <f>IF($G1478="","",INDEX('EDS Lookup'!$D$6:$D$2819,$G1478))</f>
        <v/>
      </c>
      <c r="B1478" s="5" t="str">
        <f>IF($G1478="","",INDEX('EDS Lookup'!$B$6:$B$2819,$G1478))</f>
        <v/>
      </c>
      <c r="C1478" s="17"/>
      <c r="D1478" s="6"/>
      <c r="E1478" s="7" t="str">
        <f>IF($G1478="","",INDEX('EDS Lookup'!$F$6:$F$2819,$G1478))</f>
        <v/>
      </c>
      <c r="F1478" s="8" t="str">
        <f>IF($G1478="","",INDEX('EDS Lookup'!$G$6:$G$2819,$G1478))</f>
        <v/>
      </c>
      <c r="G1478" t="str">
        <f>IF(1455&lt;=$B$4,IFERROR(MATCH(1455,'EDS Lookup'!$H$6:$H$2819,0),""),"")</f>
        <v/>
      </c>
      <c r="H1478" t="str">
        <f t="shared" si="22"/>
        <v/>
      </c>
    </row>
    <row r="1479" spans="1:8" ht="19.95" customHeight="1">
      <c r="A1479" s="5" t="str">
        <f>IF($G1479="","",INDEX('EDS Lookup'!$D$6:$D$2819,$G1479))</f>
        <v/>
      </c>
      <c r="B1479" s="5" t="str">
        <f>IF($G1479="","",INDEX('EDS Lookup'!$B$6:$B$2819,$G1479))</f>
        <v/>
      </c>
      <c r="C1479" s="17"/>
      <c r="D1479" s="6"/>
      <c r="E1479" s="7" t="str">
        <f>IF($G1479="","",INDEX('EDS Lookup'!$F$6:$F$2819,$G1479))</f>
        <v/>
      </c>
      <c r="F1479" s="8" t="str">
        <f>IF($G1479="","",INDEX('EDS Lookup'!$G$6:$G$2819,$G1479))</f>
        <v/>
      </c>
      <c r="G1479" t="str">
        <f>IF(1456&lt;=$B$4,IFERROR(MATCH(1456,'EDS Lookup'!$H$6:$H$2819,0),""),"")</f>
        <v/>
      </c>
      <c r="H1479" t="str">
        <f t="shared" si="22"/>
        <v/>
      </c>
    </row>
    <row r="1480" spans="1:8" ht="19.95" customHeight="1">
      <c r="A1480" s="5" t="str">
        <f>IF($G1480="","",INDEX('EDS Lookup'!$D$6:$D$2819,$G1480))</f>
        <v/>
      </c>
      <c r="B1480" s="5" t="str">
        <f>IF($G1480="","",INDEX('EDS Lookup'!$B$6:$B$2819,$G1480))</f>
        <v/>
      </c>
      <c r="C1480" s="17"/>
      <c r="D1480" s="6"/>
      <c r="E1480" s="7" t="str">
        <f>IF($G1480="","",INDEX('EDS Lookup'!$F$6:$F$2819,$G1480))</f>
        <v/>
      </c>
      <c r="F1480" s="8" t="str">
        <f>IF($G1480="","",INDEX('EDS Lookup'!$G$6:$G$2819,$G1480))</f>
        <v/>
      </c>
      <c r="G1480" t="str">
        <f>IF(1457&lt;=$B$4,IFERROR(MATCH(1457,'EDS Lookup'!$H$6:$H$2819,0),""),"")</f>
        <v/>
      </c>
      <c r="H1480" t="str">
        <f t="shared" si="22"/>
        <v/>
      </c>
    </row>
    <row r="1481" spans="1:8" ht="19.95" customHeight="1">
      <c r="A1481" s="5" t="str">
        <f>IF($G1481="","",INDEX('EDS Lookup'!$D$6:$D$2819,$G1481))</f>
        <v/>
      </c>
      <c r="B1481" s="5" t="str">
        <f>IF($G1481="","",INDEX('EDS Lookup'!$B$6:$B$2819,$G1481))</f>
        <v/>
      </c>
      <c r="C1481" s="17"/>
      <c r="D1481" s="6"/>
      <c r="E1481" s="7" t="str">
        <f>IF($G1481="","",INDEX('EDS Lookup'!$F$6:$F$2819,$G1481))</f>
        <v/>
      </c>
      <c r="F1481" s="8" t="str">
        <f>IF($G1481="","",INDEX('EDS Lookup'!$G$6:$G$2819,$G1481))</f>
        <v/>
      </c>
      <c r="G1481" t="str">
        <f>IF(1458&lt;=$B$4,IFERROR(MATCH(1458,'EDS Lookup'!$H$6:$H$2819,0),""),"")</f>
        <v/>
      </c>
      <c r="H1481" t="str">
        <f t="shared" si="22"/>
        <v/>
      </c>
    </row>
    <row r="1482" spans="1:8" ht="19.95" customHeight="1">
      <c r="A1482" s="5" t="str">
        <f>IF($G1482="","",INDEX('EDS Lookup'!$D$6:$D$2819,$G1482))</f>
        <v/>
      </c>
      <c r="B1482" s="5" t="str">
        <f>IF($G1482="","",INDEX('EDS Lookup'!$B$6:$B$2819,$G1482))</f>
        <v/>
      </c>
      <c r="C1482" s="17"/>
      <c r="D1482" s="6"/>
      <c r="E1482" s="7" t="str">
        <f>IF($G1482="","",INDEX('EDS Lookup'!$F$6:$F$2819,$G1482))</f>
        <v/>
      </c>
      <c r="F1482" s="8" t="str">
        <f>IF($G1482="","",INDEX('EDS Lookup'!$G$6:$G$2819,$G1482))</f>
        <v/>
      </c>
      <c r="G1482" t="str">
        <f>IF(1459&lt;=$B$4,IFERROR(MATCH(1459,'EDS Lookup'!$H$6:$H$2819,0),""),"")</f>
        <v/>
      </c>
      <c r="H1482" t="str">
        <f t="shared" si="22"/>
        <v/>
      </c>
    </row>
    <row r="1483" spans="1:8" ht="19.95" customHeight="1">
      <c r="A1483" s="5" t="str">
        <f>IF($G1483="","",INDEX('EDS Lookup'!$D$6:$D$2819,$G1483))</f>
        <v/>
      </c>
      <c r="B1483" s="5" t="str">
        <f>IF($G1483="","",INDEX('EDS Lookup'!$B$6:$B$2819,$G1483))</f>
        <v/>
      </c>
      <c r="C1483" s="17"/>
      <c r="D1483" s="6"/>
      <c r="E1483" s="7" t="str">
        <f>IF($G1483="","",INDEX('EDS Lookup'!$F$6:$F$2819,$G1483))</f>
        <v/>
      </c>
      <c r="F1483" s="8" t="str">
        <f>IF($G1483="","",INDEX('EDS Lookup'!$G$6:$G$2819,$G1483))</f>
        <v/>
      </c>
      <c r="G1483" t="str">
        <f>IF(1460&lt;=$B$4,IFERROR(MATCH(1460,'EDS Lookup'!$H$6:$H$2819,0),""),"")</f>
        <v/>
      </c>
      <c r="H1483" t="str">
        <f t="shared" si="22"/>
        <v/>
      </c>
    </row>
    <row r="1484" spans="1:8" ht="19.95" customHeight="1">
      <c r="A1484" s="5" t="str">
        <f>IF($G1484="","",INDEX('EDS Lookup'!$D$6:$D$2819,$G1484))</f>
        <v/>
      </c>
      <c r="B1484" s="5" t="str">
        <f>IF($G1484="","",INDEX('EDS Lookup'!$B$6:$B$2819,$G1484))</f>
        <v/>
      </c>
      <c r="C1484" s="17"/>
      <c r="D1484" s="6"/>
      <c r="E1484" s="7" t="str">
        <f>IF($G1484="","",INDEX('EDS Lookup'!$F$6:$F$2819,$G1484))</f>
        <v/>
      </c>
      <c r="F1484" s="8" t="str">
        <f>IF($G1484="","",INDEX('EDS Lookup'!$G$6:$G$2819,$G1484))</f>
        <v/>
      </c>
      <c r="G1484" t="str">
        <f>IF(1461&lt;=$B$4,IFERROR(MATCH(1461,'EDS Lookup'!$H$6:$H$2819,0),""),"")</f>
        <v/>
      </c>
      <c r="H1484" t="str">
        <f t="shared" si="22"/>
        <v/>
      </c>
    </row>
    <row r="1485" spans="1:8" ht="19.95" customHeight="1">
      <c r="A1485" s="5" t="str">
        <f>IF($G1485="","",INDEX('EDS Lookup'!$D$6:$D$2819,$G1485))</f>
        <v/>
      </c>
      <c r="B1485" s="5" t="str">
        <f>IF($G1485="","",INDEX('EDS Lookup'!$B$6:$B$2819,$G1485))</f>
        <v/>
      </c>
      <c r="C1485" s="17"/>
      <c r="D1485" s="6"/>
      <c r="E1485" s="7" t="str">
        <f>IF($G1485="","",INDEX('EDS Lookup'!$F$6:$F$2819,$G1485))</f>
        <v/>
      </c>
      <c r="F1485" s="8" t="str">
        <f>IF($G1485="","",INDEX('EDS Lookup'!$G$6:$G$2819,$G1485))</f>
        <v/>
      </c>
      <c r="G1485" t="str">
        <f>IF(1462&lt;=$B$4,IFERROR(MATCH(1462,'EDS Lookup'!$H$6:$H$2819,0),""),"")</f>
        <v/>
      </c>
      <c r="H1485" t="str">
        <f t="shared" si="22"/>
        <v/>
      </c>
    </row>
    <row r="1486" spans="1:8" ht="19.95" customHeight="1">
      <c r="A1486" s="5" t="str">
        <f>IF($G1486="","",INDEX('EDS Lookup'!$D$6:$D$2819,$G1486))</f>
        <v/>
      </c>
      <c r="B1486" s="5" t="str">
        <f>IF($G1486="","",INDEX('EDS Lookup'!$B$6:$B$2819,$G1486))</f>
        <v/>
      </c>
      <c r="C1486" s="17"/>
      <c r="D1486" s="6"/>
      <c r="E1486" s="7" t="str">
        <f>IF($G1486="","",INDEX('EDS Lookup'!$F$6:$F$2819,$G1486))</f>
        <v/>
      </c>
      <c r="F1486" s="8" t="str">
        <f>IF($G1486="","",INDEX('EDS Lookup'!$G$6:$G$2819,$G1486))</f>
        <v/>
      </c>
      <c r="G1486" t="str">
        <f>IF(1463&lt;=$B$4,IFERROR(MATCH(1463,'EDS Lookup'!$H$6:$H$2819,0),""),"")</f>
        <v/>
      </c>
      <c r="H1486" t="str">
        <f t="shared" si="22"/>
        <v/>
      </c>
    </row>
    <row r="1487" spans="1:8" ht="19.95" customHeight="1">
      <c r="A1487" s="5" t="str">
        <f>IF($G1487="","",INDEX('EDS Lookup'!$D$6:$D$2819,$G1487))</f>
        <v/>
      </c>
      <c r="B1487" s="5" t="str">
        <f>IF($G1487="","",INDEX('EDS Lookup'!$B$6:$B$2819,$G1487))</f>
        <v/>
      </c>
      <c r="C1487" s="17"/>
      <c r="D1487" s="6"/>
      <c r="E1487" s="7" t="str">
        <f>IF($G1487="","",INDEX('EDS Lookup'!$F$6:$F$2819,$G1487))</f>
        <v/>
      </c>
      <c r="F1487" s="8" t="str">
        <f>IF($G1487="","",INDEX('EDS Lookup'!$G$6:$G$2819,$G1487))</f>
        <v/>
      </c>
      <c r="G1487" t="str">
        <f>IF(1464&lt;=$B$4,IFERROR(MATCH(1464,'EDS Lookup'!$H$6:$H$2819,0),""),"")</f>
        <v/>
      </c>
      <c r="H1487" t="str">
        <f t="shared" si="22"/>
        <v/>
      </c>
    </row>
    <row r="1488" spans="1:8" ht="19.95" customHeight="1">
      <c r="A1488" s="5" t="str">
        <f>IF($G1488="","",INDEX('EDS Lookup'!$D$6:$D$2819,$G1488))</f>
        <v/>
      </c>
      <c r="B1488" s="5" t="str">
        <f>IF($G1488="","",INDEX('EDS Lookup'!$B$6:$B$2819,$G1488))</f>
        <v/>
      </c>
      <c r="C1488" s="17"/>
      <c r="D1488" s="6"/>
      <c r="E1488" s="7" t="str">
        <f>IF($G1488="","",INDEX('EDS Lookup'!$F$6:$F$2819,$G1488))</f>
        <v/>
      </c>
      <c r="F1488" s="8" t="str">
        <f>IF($G1488="","",INDEX('EDS Lookup'!$G$6:$G$2819,$G1488))</f>
        <v/>
      </c>
      <c r="G1488" t="str">
        <f>IF(1465&lt;=$B$4,IFERROR(MATCH(1465,'EDS Lookup'!$H$6:$H$2819,0),""),"")</f>
        <v/>
      </c>
      <c r="H1488" t="str">
        <f t="shared" si="22"/>
        <v/>
      </c>
    </row>
    <row r="1489" spans="1:8" ht="19.95" customHeight="1">
      <c r="A1489" s="5" t="str">
        <f>IF($G1489="","",INDEX('EDS Lookup'!$D$6:$D$2819,$G1489))</f>
        <v/>
      </c>
      <c r="B1489" s="5" t="str">
        <f>IF($G1489="","",INDEX('EDS Lookup'!$B$6:$B$2819,$G1489))</f>
        <v/>
      </c>
      <c r="C1489" s="17"/>
      <c r="D1489" s="6"/>
      <c r="E1489" s="7" t="str">
        <f>IF($G1489="","",INDEX('EDS Lookup'!$F$6:$F$2819,$G1489))</f>
        <v/>
      </c>
      <c r="F1489" s="8" t="str">
        <f>IF($G1489="","",INDEX('EDS Lookup'!$G$6:$G$2819,$G1489))</f>
        <v/>
      </c>
      <c r="G1489" t="str">
        <f>IF(1466&lt;=$B$4,IFERROR(MATCH(1466,'EDS Lookup'!$H$6:$H$2819,0),""),"")</f>
        <v/>
      </c>
      <c r="H1489" t="str">
        <f t="shared" si="22"/>
        <v/>
      </c>
    </row>
    <row r="1490" spans="1:8" ht="19.95" customHeight="1">
      <c r="A1490" s="5" t="str">
        <f>IF($G1490="","",INDEX('EDS Lookup'!$D$6:$D$2819,$G1490))</f>
        <v/>
      </c>
      <c r="B1490" s="5" t="str">
        <f>IF($G1490="","",INDEX('EDS Lookup'!$B$6:$B$2819,$G1490))</f>
        <v/>
      </c>
      <c r="C1490" s="17"/>
      <c r="D1490" s="6"/>
      <c r="E1490" s="7" t="str">
        <f>IF($G1490="","",INDEX('EDS Lookup'!$F$6:$F$2819,$G1490))</f>
        <v/>
      </c>
      <c r="F1490" s="8" t="str">
        <f>IF($G1490="","",INDEX('EDS Lookup'!$G$6:$G$2819,$G1490))</f>
        <v/>
      </c>
      <c r="G1490" t="str">
        <f>IF(1467&lt;=$B$4,IFERROR(MATCH(1467,'EDS Lookup'!$H$6:$H$2819,0),""),"")</f>
        <v/>
      </c>
      <c r="H1490" t="str">
        <f t="shared" si="22"/>
        <v/>
      </c>
    </row>
    <row r="1491" spans="1:8" ht="19.95" customHeight="1">
      <c r="A1491" s="5" t="str">
        <f>IF($G1491="","",INDEX('EDS Lookup'!$D$6:$D$2819,$G1491))</f>
        <v/>
      </c>
      <c r="B1491" s="5" t="str">
        <f>IF($G1491="","",INDEX('EDS Lookup'!$B$6:$B$2819,$G1491))</f>
        <v/>
      </c>
      <c r="C1491" s="17"/>
      <c r="D1491" s="6"/>
      <c r="E1491" s="7" t="str">
        <f>IF($G1491="","",INDEX('EDS Lookup'!$F$6:$F$2819,$G1491))</f>
        <v/>
      </c>
      <c r="F1491" s="8" t="str">
        <f>IF($G1491="","",INDEX('EDS Lookup'!$G$6:$G$2819,$G1491))</f>
        <v/>
      </c>
      <c r="G1491" t="str">
        <f>IF(1468&lt;=$B$4,IFERROR(MATCH(1468,'EDS Lookup'!$H$6:$H$2819,0),""),"")</f>
        <v/>
      </c>
      <c r="H1491" t="str">
        <f t="shared" si="22"/>
        <v/>
      </c>
    </row>
    <row r="1492" spans="1:8" ht="19.95" customHeight="1">
      <c r="A1492" s="5" t="str">
        <f>IF($G1492="","",INDEX('EDS Lookup'!$D$6:$D$2819,$G1492))</f>
        <v/>
      </c>
      <c r="B1492" s="5" t="str">
        <f>IF($G1492="","",INDEX('EDS Lookup'!$B$6:$B$2819,$G1492))</f>
        <v/>
      </c>
      <c r="C1492" s="17"/>
      <c r="D1492" s="6"/>
      <c r="E1492" s="7" t="str">
        <f>IF($G1492="","",INDEX('EDS Lookup'!$F$6:$F$2819,$G1492))</f>
        <v/>
      </c>
      <c r="F1492" s="8" t="str">
        <f>IF($G1492="","",INDEX('EDS Lookup'!$G$6:$G$2819,$G1492))</f>
        <v/>
      </c>
      <c r="G1492" t="str">
        <f>IF(1469&lt;=$B$4,IFERROR(MATCH(1469,'EDS Lookup'!$H$6:$H$2819,0),""),"")</f>
        <v/>
      </c>
      <c r="H1492" t="str">
        <f t="shared" si="22"/>
        <v/>
      </c>
    </row>
    <row r="1493" spans="1:8" ht="19.95" customHeight="1">
      <c r="A1493" s="5" t="str">
        <f>IF($G1493="","",INDEX('EDS Lookup'!$D$6:$D$2819,$G1493))</f>
        <v/>
      </c>
      <c r="B1493" s="5" t="str">
        <f>IF($G1493="","",INDEX('EDS Lookup'!$B$6:$B$2819,$G1493))</f>
        <v/>
      </c>
      <c r="C1493" s="17"/>
      <c r="D1493" s="6"/>
      <c r="E1493" s="7" t="str">
        <f>IF($G1493="","",INDEX('EDS Lookup'!$F$6:$F$2819,$G1493))</f>
        <v/>
      </c>
      <c r="F1493" s="8" t="str">
        <f>IF($G1493="","",INDEX('EDS Lookup'!$G$6:$G$2819,$G1493))</f>
        <v/>
      </c>
      <c r="G1493" t="str">
        <f>IF(1470&lt;=$B$4,IFERROR(MATCH(1470,'EDS Lookup'!$H$6:$H$2819,0),""),"")</f>
        <v/>
      </c>
      <c r="H1493" t="str">
        <f t="shared" si="22"/>
        <v/>
      </c>
    </row>
    <row r="1494" spans="1:8" ht="19.95" customHeight="1">
      <c r="A1494" s="5" t="str">
        <f>IF($G1494="","",INDEX('EDS Lookup'!$D$6:$D$2819,$G1494))</f>
        <v/>
      </c>
      <c r="B1494" s="5" t="str">
        <f>IF($G1494="","",INDEX('EDS Lookup'!$B$6:$B$2819,$G1494))</f>
        <v/>
      </c>
      <c r="C1494" s="17"/>
      <c r="D1494" s="6"/>
      <c r="E1494" s="7" t="str">
        <f>IF($G1494="","",INDEX('EDS Lookup'!$F$6:$F$2819,$G1494))</f>
        <v/>
      </c>
      <c r="F1494" s="8" t="str">
        <f>IF($G1494="","",INDEX('EDS Lookup'!$G$6:$G$2819,$G1494))</f>
        <v/>
      </c>
      <c r="G1494" t="str">
        <f>IF(1471&lt;=$B$4,IFERROR(MATCH(1471,'EDS Lookup'!$H$6:$H$2819,0),""),"")</f>
        <v/>
      </c>
      <c r="H1494" t="str">
        <f t="shared" si="22"/>
        <v/>
      </c>
    </row>
    <row r="1495" spans="1:8" ht="19.95" customHeight="1">
      <c r="A1495" s="5" t="str">
        <f>IF($G1495="","",INDEX('EDS Lookup'!$D$6:$D$2819,$G1495))</f>
        <v/>
      </c>
      <c r="B1495" s="5" t="str">
        <f>IF($G1495="","",INDEX('EDS Lookup'!$B$6:$B$2819,$G1495))</f>
        <v/>
      </c>
      <c r="C1495" s="17"/>
      <c r="D1495" s="6"/>
      <c r="E1495" s="7" t="str">
        <f>IF($G1495="","",INDEX('EDS Lookup'!$F$6:$F$2819,$G1495))</f>
        <v/>
      </c>
      <c r="F1495" s="8" t="str">
        <f>IF($G1495="","",INDEX('EDS Lookup'!$G$6:$G$2819,$G1495))</f>
        <v/>
      </c>
      <c r="G1495" t="str">
        <f>IF(1472&lt;=$B$4,IFERROR(MATCH(1472,'EDS Lookup'!$H$6:$H$2819,0),""),"")</f>
        <v/>
      </c>
      <c r="H1495" t="str">
        <f t="shared" si="22"/>
        <v/>
      </c>
    </row>
    <row r="1496" spans="1:8" ht="19.95" customHeight="1">
      <c r="A1496" s="5" t="str">
        <f>IF($G1496="","",INDEX('EDS Lookup'!$D$6:$D$2819,$G1496))</f>
        <v/>
      </c>
      <c r="B1496" s="5" t="str">
        <f>IF($G1496="","",INDEX('EDS Lookup'!$B$6:$B$2819,$G1496))</f>
        <v/>
      </c>
      <c r="C1496" s="17"/>
      <c r="D1496" s="6"/>
      <c r="E1496" s="7" t="str">
        <f>IF($G1496="","",INDEX('EDS Lookup'!$F$6:$F$2819,$G1496))</f>
        <v/>
      </c>
      <c r="F1496" s="8" t="str">
        <f>IF($G1496="","",INDEX('EDS Lookup'!$G$6:$G$2819,$G1496))</f>
        <v/>
      </c>
      <c r="G1496" t="str">
        <f>IF(1473&lt;=$B$4,IFERROR(MATCH(1473,'EDS Lookup'!$H$6:$H$2819,0),""),"")</f>
        <v/>
      </c>
      <c r="H1496" t="str">
        <f t="shared" ref="H1496:H1559" si="23">IF(F1496="&lt;5",5,IF(F1496="&gt;95",95,IF(ISNUMBER(F1496),F1496,"")))</f>
        <v/>
      </c>
    </row>
    <row r="1497" spans="1:8" ht="19.95" customHeight="1">
      <c r="A1497" s="5" t="str">
        <f>IF($G1497="","",INDEX('EDS Lookup'!$D$6:$D$2819,$G1497))</f>
        <v/>
      </c>
      <c r="B1497" s="5" t="str">
        <f>IF($G1497="","",INDEX('EDS Lookup'!$B$6:$B$2819,$G1497))</f>
        <v/>
      </c>
      <c r="C1497" s="17"/>
      <c r="D1497" s="6"/>
      <c r="E1497" s="7" t="str">
        <f>IF($G1497="","",INDEX('EDS Lookup'!$F$6:$F$2819,$G1497))</f>
        <v/>
      </c>
      <c r="F1497" s="8" t="str">
        <f>IF($G1497="","",INDEX('EDS Lookup'!$G$6:$G$2819,$G1497))</f>
        <v/>
      </c>
      <c r="G1497" t="str">
        <f>IF(1474&lt;=$B$4,IFERROR(MATCH(1474,'EDS Lookup'!$H$6:$H$2819,0),""),"")</f>
        <v/>
      </c>
      <c r="H1497" t="str">
        <f t="shared" si="23"/>
        <v/>
      </c>
    </row>
    <row r="1498" spans="1:8" ht="19.95" customHeight="1">
      <c r="A1498" s="5" t="str">
        <f>IF($G1498="","",INDEX('EDS Lookup'!$D$6:$D$2819,$G1498))</f>
        <v/>
      </c>
      <c r="B1498" s="5" t="str">
        <f>IF($G1498="","",INDEX('EDS Lookup'!$B$6:$B$2819,$G1498))</f>
        <v/>
      </c>
      <c r="C1498" s="17"/>
      <c r="D1498" s="6"/>
      <c r="E1498" s="7" t="str">
        <f>IF($G1498="","",INDEX('EDS Lookup'!$F$6:$F$2819,$G1498))</f>
        <v/>
      </c>
      <c r="F1498" s="8" t="str">
        <f>IF($G1498="","",INDEX('EDS Lookup'!$G$6:$G$2819,$G1498))</f>
        <v/>
      </c>
      <c r="G1498" t="str">
        <f>IF(1475&lt;=$B$4,IFERROR(MATCH(1475,'EDS Lookup'!$H$6:$H$2819,0),""),"")</f>
        <v/>
      </c>
      <c r="H1498" t="str">
        <f t="shared" si="23"/>
        <v/>
      </c>
    </row>
    <row r="1499" spans="1:8" ht="19.95" customHeight="1">
      <c r="A1499" s="5" t="str">
        <f>IF($G1499="","",INDEX('EDS Lookup'!$D$6:$D$2819,$G1499))</f>
        <v/>
      </c>
      <c r="B1499" s="5" t="str">
        <f>IF($G1499="","",INDEX('EDS Lookup'!$B$6:$B$2819,$G1499))</f>
        <v/>
      </c>
      <c r="C1499" s="17"/>
      <c r="D1499" s="6"/>
      <c r="E1499" s="7" t="str">
        <f>IF($G1499="","",INDEX('EDS Lookup'!$F$6:$F$2819,$G1499))</f>
        <v/>
      </c>
      <c r="F1499" s="8" t="str">
        <f>IF($G1499="","",INDEX('EDS Lookup'!$G$6:$G$2819,$G1499))</f>
        <v/>
      </c>
      <c r="G1499" t="str">
        <f>IF(1476&lt;=$B$4,IFERROR(MATCH(1476,'EDS Lookup'!$H$6:$H$2819,0),""),"")</f>
        <v/>
      </c>
      <c r="H1499" t="str">
        <f t="shared" si="23"/>
        <v/>
      </c>
    </row>
    <row r="1500" spans="1:8" ht="19.95" customHeight="1">
      <c r="A1500" s="5" t="str">
        <f>IF($G1500="","",INDEX('EDS Lookup'!$D$6:$D$2819,$G1500))</f>
        <v/>
      </c>
      <c r="B1500" s="5" t="str">
        <f>IF($G1500="","",INDEX('EDS Lookup'!$B$6:$B$2819,$G1500))</f>
        <v/>
      </c>
      <c r="C1500" s="17"/>
      <c r="D1500" s="6"/>
      <c r="E1500" s="7" t="str">
        <f>IF($G1500="","",INDEX('EDS Lookup'!$F$6:$F$2819,$G1500))</f>
        <v/>
      </c>
      <c r="F1500" s="8" t="str">
        <f>IF($G1500="","",INDEX('EDS Lookup'!$G$6:$G$2819,$G1500))</f>
        <v/>
      </c>
      <c r="G1500" t="str">
        <f>IF(1477&lt;=$B$4,IFERROR(MATCH(1477,'EDS Lookup'!$H$6:$H$2819,0),""),"")</f>
        <v/>
      </c>
      <c r="H1500" t="str">
        <f t="shared" si="23"/>
        <v/>
      </c>
    </row>
    <row r="1501" spans="1:8" ht="19.95" customHeight="1">
      <c r="A1501" s="5" t="str">
        <f>IF($G1501="","",INDEX('EDS Lookup'!$D$6:$D$2819,$G1501))</f>
        <v/>
      </c>
      <c r="B1501" s="5" t="str">
        <f>IF($G1501="","",INDEX('EDS Lookup'!$B$6:$B$2819,$G1501))</f>
        <v/>
      </c>
      <c r="C1501" s="17"/>
      <c r="D1501" s="6"/>
      <c r="E1501" s="7" t="str">
        <f>IF($G1501="","",INDEX('EDS Lookup'!$F$6:$F$2819,$G1501))</f>
        <v/>
      </c>
      <c r="F1501" s="8" t="str">
        <f>IF($G1501="","",INDEX('EDS Lookup'!$G$6:$G$2819,$G1501))</f>
        <v/>
      </c>
      <c r="G1501" t="str">
        <f>IF(1478&lt;=$B$4,IFERROR(MATCH(1478,'EDS Lookup'!$H$6:$H$2819,0),""),"")</f>
        <v/>
      </c>
      <c r="H1501" t="str">
        <f t="shared" si="23"/>
        <v/>
      </c>
    </row>
    <row r="1502" spans="1:8" ht="19.95" customHeight="1">
      <c r="A1502" s="5" t="str">
        <f>IF($G1502="","",INDEX('EDS Lookup'!$D$6:$D$2819,$G1502))</f>
        <v/>
      </c>
      <c r="B1502" s="5" t="str">
        <f>IF($G1502="","",INDEX('EDS Lookup'!$B$6:$B$2819,$G1502))</f>
        <v/>
      </c>
      <c r="C1502" s="17"/>
      <c r="D1502" s="6"/>
      <c r="E1502" s="7" t="str">
        <f>IF($G1502="","",INDEX('EDS Lookup'!$F$6:$F$2819,$G1502))</f>
        <v/>
      </c>
      <c r="F1502" s="8" t="str">
        <f>IF($G1502="","",INDEX('EDS Lookup'!$G$6:$G$2819,$G1502))</f>
        <v/>
      </c>
      <c r="G1502" t="str">
        <f>IF(1479&lt;=$B$4,IFERROR(MATCH(1479,'EDS Lookup'!$H$6:$H$2819,0),""),"")</f>
        <v/>
      </c>
      <c r="H1502" t="str">
        <f t="shared" si="23"/>
        <v/>
      </c>
    </row>
    <row r="1503" spans="1:8" ht="19.95" customHeight="1">
      <c r="A1503" s="5" t="str">
        <f>IF($G1503="","",INDEX('EDS Lookup'!$D$6:$D$2819,$G1503))</f>
        <v/>
      </c>
      <c r="B1503" s="5" t="str">
        <f>IF($G1503="","",INDEX('EDS Lookup'!$B$6:$B$2819,$G1503))</f>
        <v/>
      </c>
      <c r="C1503" s="17"/>
      <c r="D1503" s="6"/>
      <c r="E1503" s="7" t="str">
        <f>IF($G1503="","",INDEX('EDS Lookup'!$F$6:$F$2819,$G1503))</f>
        <v/>
      </c>
      <c r="F1503" s="8" t="str">
        <f>IF($G1503="","",INDEX('EDS Lookup'!$G$6:$G$2819,$G1503))</f>
        <v/>
      </c>
      <c r="G1503" t="str">
        <f>IF(1480&lt;=$B$4,IFERROR(MATCH(1480,'EDS Lookup'!$H$6:$H$2819,0),""),"")</f>
        <v/>
      </c>
      <c r="H1503" t="str">
        <f t="shared" si="23"/>
        <v/>
      </c>
    </row>
    <row r="1504" spans="1:8" ht="19.95" customHeight="1">
      <c r="A1504" s="5" t="str">
        <f>IF($G1504="","",INDEX('EDS Lookup'!$D$6:$D$2819,$G1504))</f>
        <v/>
      </c>
      <c r="B1504" s="5" t="str">
        <f>IF($G1504="","",INDEX('EDS Lookup'!$B$6:$B$2819,$G1504))</f>
        <v/>
      </c>
      <c r="C1504" s="17"/>
      <c r="D1504" s="6"/>
      <c r="E1504" s="7" t="str">
        <f>IF($G1504="","",INDEX('EDS Lookup'!$F$6:$F$2819,$G1504))</f>
        <v/>
      </c>
      <c r="F1504" s="8" t="str">
        <f>IF($G1504="","",INDEX('EDS Lookup'!$G$6:$G$2819,$G1504))</f>
        <v/>
      </c>
      <c r="G1504" t="str">
        <f>IF(1481&lt;=$B$4,IFERROR(MATCH(1481,'EDS Lookup'!$H$6:$H$2819,0),""),"")</f>
        <v/>
      </c>
      <c r="H1504" t="str">
        <f t="shared" si="23"/>
        <v/>
      </c>
    </row>
    <row r="1505" spans="1:8" ht="19.95" customHeight="1">
      <c r="A1505" s="5" t="str">
        <f>IF($G1505="","",INDEX('EDS Lookup'!$D$6:$D$2819,$G1505))</f>
        <v/>
      </c>
      <c r="B1505" s="5" t="str">
        <f>IF($G1505="","",INDEX('EDS Lookup'!$B$6:$B$2819,$G1505))</f>
        <v/>
      </c>
      <c r="C1505" s="17"/>
      <c r="D1505" s="6"/>
      <c r="E1505" s="7" t="str">
        <f>IF($G1505="","",INDEX('EDS Lookup'!$F$6:$F$2819,$G1505))</f>
        <v/>
      </c>
      <c r="F1505" s="8" t="str">
        <f>IF($G1505="","",INDEX('EDS Lookup'!$G$6:$G$2819,$G1505))</f>
        <v/>
      </c>
      <c r="G1505" t="str">
        <f>IF(1482&lt;=$B$4,IFERROR(MATCH(1482,'EDS Lookup'!$H$6:$H$2819,0),""),"")</f>
        <v/>
      </c>
      <c r="H1505" t="str">
        <f t="shared" si="23"/>
        <v/>
      </c>
    </row>
    <row r="1506" spans="1:8" ht="19.95" customHeight="1">
      <c r="A1506" s="5" t="str">
        <f>IF($G1506="","",INDEX('EDS Lookup'!$D$6:$D$2819,$G1506))</f>
        <v/>
      </c>
      <c r="B1506" s="5" t="str">
        <f>IF($G1506="","",INDEX('EDS Lookup'!$B$6:$B$2819,$G1506))</f>
        <v/>
      </c>
      <c r="C1506" s="17"/>
      <c r="D1506" s="6"/>
      <c r="E1506" s="7" t="str">
        <f>IF($G1506="","",INDEX('EDS Lookup'!$F$6:$F$2819,$G1506))</f>
        <v/>
      </c>
      <c r="F1506" s="8" t="str">
        <f>IF($G1506="","",INDEX('EDS Lookup'!$G$6:$G$2819,$G1506))</f>
        <v/>
      </c>
      <c r="G1506" t="str">
        <f>IF(1483&lt;=$B$4,IFERROR(MATCH(1483,'EDS Lookup'!$H$6:$H$2819,0),""),"")</f>
        <v/>
      </c>
      <c r="H1506" t="str">
        <f t="shared" si="23"/>
        <v/>
      </c>
    </row>
    <row r="1507" spans="1:8" ht="19.95" customHeight="1">
      <c r="A1507" s="5" t="str">
        <f>IF($G1507="","",INDEX('EDS Lookup'!$D$6:$D$2819,$G1507))</f>
        <v/>
      </c>
      <c r="B1507" s="5" t="str">
        <f>IF($G1507="","",INDEX('EDS Lookup'!$B$6:$B$2819,$G1507))</f>
        <v/>
      </c>
      <c r="C1507" s="17"/>
      <c r="D1507" s="6"/>
      <c r="E1507" s="7" t="str">
        <f>IF($G1507="","",INDEX('EDS Lookup'!$F$6:$F$2819,$G1507))</f>
        <v/>
      </c>
      <c r="F1507" s="8" t="str">
        <f>IF($G1507="","",INDEX('EDS Lookup'!$G$6:$G$2819,$G1507))</f>
        <v/>
      </c>
      <c r="G1507" t="str">
        <f>IF(1484&lt;=$B$4,IFERROR(MATCH(1484,'EDS Lookup'!$H$6:$H$2819,0),""),"")</f>
        <v/>
      </c>
      <c r="H1507" t="str">
        <f t="shared" si="23"/>
        <v/>
      </c>
    </row>
    <row r="1508" spans="1:8" ht="19.95" customHeight="1">
      <c r="A1508" s="5" t="str">
        <f>IF($G1508="","",INDEX('EDS Lookup'!$D$6:$D$2819,$G1508))</f>
        <v/>
      </c>
      <c r="B1508" s="5" t="str">
        <f>IF($G1508="","",INDEX('EDS Lookup'!$B$6:$B$2819,$G1508))</f>
        <v/>
      </c>
      <c r="C1508" s="17"/>
      <c r="D1508" s="6"/>
      <c r="E1508" s="7" t="str">
        <f>IF($G1508="","",INDEX('EDS Lookup'!$F$6:$F$2819,$G1508))</f>
        <v/>
      </c>
      <c r="F1508" s="8" t="str">
        <f>IF($G1508="","",INDEX('EDS Lookup'!$G$6:$G$2819,$G1508))</f>
        <v/>
      </c>
      <c r="G1508" t="str">
        <f>IF(1485&lt;=$B$4,IFERROR(MATCH(1485,'EDS Lookup'!$H$6:$H$2819,0),""),"")</f>
        <v/>
      </c>
      <c r="H1508" t="str">
        <f t="shared" si="23"/>
        <v/>
      </c>
    </row>
    <row r="1509" spans="1:8" ht="19.95" customHeight="1">
      <c r="A1509" s="5" t="str">
        <f>IF($G1509="","",INDEX('EDS Lookup'!$D$6:$D$2819,$G1509))</f>
        <v/>
      </c>
      <c r="B1509" s="5" t="str">
        <f>IF($G1509="","",INDEX('EDS Lookup'!$B$6:$B$2819,$G1509))</f>
        <v/>
      </c>
      <c r="C1509" s="17"/>
      <c r="D1509" s="6"/>
      <c r="E1509" s="7" t="str">
        <f>IF($G1509="","",INDEX('EDS Lookup'!$F$6:$F$2819,$G1509))</f>
        <v/>
      </c>
      <c r="F1509" s="8" t="str">
        <f>IF($G1509="","",INDEX('EDS Lookup'!$G$6:$G$2819,$G1509))</f>
        <v/>
      </c>
      <c r="G1509" t="str">
        <f>IF(1486&lt;=$B$4,IFERROR(MATCH(1486,'EDS Lookup'!$H$6:$H$2819,0),""),"")</f>
        <v/>
      </c>
      <c r="H1509" t="str">
        <f t="shared" si="23"/>
        <v/>
      </c>
    </row>
    <row r="1510" spans="1:8" ht="19.95" customHeight="1">
      <c r="A1510" s="5" t="str">
        <f>IF($G1510="","",INDEX('EDS Lookup'!$D$6:$D$2819,$G1510))</f>
        <v/>
      </c>
      <c r="B1510" s="5" t="str">
        <f>IF($G1510="","",INDEX('EDS Lookup'!$B$6:$B$2819,$G1510))</f>
        <v/>
      </c>
      <c r="C1510" s="17"/>
      <c r="D1510" s="6"/>
      <c r="E1510" s="7" t="str">
        <f>IF($G1510="","",INDEX('EDS Lookup'!$F$6:$F$2819,$G1510))</f>
        <v/>
      </c>
      <c r="F1510" s="8" t="str">
        <f>IF($G1510="","",INDEX('EDS Lookup'!$G$6:$G$2819,$G1510))</f>
        <v/>
      </c>
      <c r="G1510" t="str">
        <f>IF(1487&lt;=$B$4,IFERROR(MATCH(1487,'EDS Lookup'!$H$6:$H$2819,0),""),"")</f>
        <v/>
      </c>
      <c r="H1510" t="str">
        <f t="shared" si="23"/>
        <v/>
      </c>
    </row>
    <row r="1511" spans="1:8" ht="19.95" customHeight="1">
      <c r="A1511" s="5" t="str">
        <f>IF($G1511="","",INDEX('EDS Lookup'!$D$6:$D$2819,$G1511))</f>
        <v/>
      </c>
      <c r="B1511" s="5" t="str">
        <f>IF($G1511="","",INDEX('EDS Lookup'!$B$6:$B$2819,$G1511))</f>
        <v/>
      </c>
      <c r="C1511" s="17"/>
      <c r="D1511" s="6"/>
      <c r="E1511" s="7" t="str">
        <f>IF($G1511="","",INDEX('EDS Lookup'!$F$6:$F$2819,$G1511))</f>
        <v/>
      </c>
      <c r="F1511" s="8" t="str">
        <f>IF($G1511="","",INDEX('EDS Lookup'!$G$6:$G$2819,$G1511))</f>
        <v/>
      </c>
      <c r="G1511" t="str">
        <f>IF(1488&lt;=$B$4,IFERROR(MATCH(1488,'EDS Lookup'!$H$6:$H$2819,0),""),"")</f>
        <v/>
      </c>
      <c r="H1511" t="str">
        <f t="shared" si="23"/>
        <v/>
      </c>
    </row>
    <row r="1512" spans="1:8" ht="19.95" customHeight="1">
      <c r="A1512" s="5" t="str">
        <f>IF($G1512="","",INDEX('EDS Lookup'!$D$6:$D$2819,$G1512))</f>
        <v/>
      </c>
      <c r="B1512" s="5" t="str">
        <f>IF($G1512="","",INDEX('EDS Lookup'!$B$6:$B$2819,$G1512))</f>
        <v/>
      </c>
      <c r="C1512" s="17"/>
      <c r="D1512" s="6"/>
      <c r="E1512" s="7" t="str">
        <f>IF($G1512="","",INDEX('EDS Lookup'!$F$6:$F$2819,$G1512))</f>
        <v/>
      </c>
      <c r="F1512" s="8" t="str">
        <f>IF($G1512="","",INDEX('EDS Lookup'!$G$6:$G$2819,$G1512))</f>
        <v/>
      </c>
      <c r="G1512" t="str">
        <f>IF(1489&lt;=$B$4,IFERROR(MATCH(1489,'EDS Lookup'!$H$6:$H$2819,0),""),"")</f>
        <v/>
      </c>
      <c r="H1512" t="str">
        <f t="shared" si="23"/>
        <v/>
      </c>
    </row>
    <row r="1513" spans="1:8" ht="19.95" customHeight="1">
      <c r="A1513" s="5" t="str">
        <f>IF($G1513="","",INDEX('EDS Lookup'!$D$6:$D$2819,$G1513))</f>
        <v/>
      </c>
      <c r="B1513" s="5" t="str">
        <f>IF($G1513="","",INDEX('EDS Lookup'!$B$6:$B$2819,$G1513))</f>
        <v/>
      </c>
      <c r="C1513" s="17"/>
      <c r="D1513" s="6"/>
      <c r="E1513" s="7" t="str">
        <f>IF($G1513="","",INDEX('EDS Lookup'!$F$6:$F$2819,$G1513))</f>
        <v/>
      </c>
      <c r="F1513" s="8" t="str">
        <f>IF($G1513="","",INDEX('EDS Lookup'!$G$6:$G$2819,$G1513))</f>
        <v/>
      </c>
      <c r="G1513" t="str">
        <f>IF(1490&lt;=$B$4,IFERROR(MATCH(1490,'EDS Lookup'!$H$6:$H$2819,0),""),"")</f>
        <v/>
      </c>
      <c r="H1513" t="str">
        <f t="shared" si="23"/>
        <v/>
      </c>
    </row>
    <row r="1514" spans="1:8" ht="19.95" customHeight="1">
      <c r="A1514" s="5" t="str">
        <f>IF($G1514="","",INDEX('EDS Lookup'!$D$6:$D$2819,$G1514))</f>
        <v/>
      </c>
      <c r="B1514" s="5" t="str">
        <f>IF($G1514="","",INDEX('EDS Lookup'!$B$6:$B$2819,$G1514))</f>
        <v/>
      </c>
      <c r="C1514" s="17"/>
      <c r="D1514" s="6"/>
      <c r="E1514" s="7" t="str">
        <f>IF($G1514="","",INDEX('EDS Lookup'!$F$6:$F$2819,$G1514))</f>
        <v/>
      </c>
      <c r="F1514" s="8" t="str">
        <f>IF($G1514="","",INDEX('EDS Lookup'!$G$6:$G$2819,$G1514))</f>
        <v/>
      </c>
      <c r="G1514" t="str">
        <f>IF(1491&lt;=$B$4,IFERROR(MATCH(1491,'EDS Lookup'!$H$6:$H$2819,0),""),"")</f>
        <v/>
      </c>
      <c r="H1514" t="str">
        <f t="shared" si="23"/>
        <v/>
      </c>
    </row>
    <row r="1515" spans="1:8" ht="19.95" customHeight="1">
      <c r="A1515" s="5" t="str">
        <f>IF($G1515="","",INDEX('EDS Lookup'!$D$6:$D$2819,$G1515))</f>
        <v/>
      </c>
      <c r="B1515" s="5" t="str">
        <f>IF($G1515="","",INDEX('EDS Lookup'!$B$6:$B$2819,$G1515))</f>
        <v/>
      </c>
      <c r="C1515" s="17"/>
      <c r="D1515" s="6"/>
      <c r="E1515" s="7" t="str">
        <f>IF($G1515="","",INDEX('EDS Lookup'!$F$6:$F$2819,$G1515))</f>
        <v/>
      </c>
      <c r="F1515" s="8" t="str">
        <f>IF($G1515="","",INDEX('EDS Lookup'!$G$6:$G$2819,$G1515))</f>
        <v/>
      </c>
      <c r="G1515" t="str">
        <f>IF(1492&lt;=$B$4,IFERROR(MATCH(1492,'EDS Lookup'!$H$6:$H$2819,0),""),"")</f>
        <v/>
      </c>
      <c r="H1515" t="str">
        <f t="shared" si="23"/>
        <v/>
      </c>
    </row>
    <row r="1516" spans="1:8" ht="19.95" customHeight="1">
      <c r="A1516" s="5" t="str">
        <f>IF($G1516="","",INDEX('EDS Lookup'!$D$6:$D$2819,$G1516))</f>
        <v/>
      </c>
      <c r="B1516" s="5" t="str">
        <f>IF($G1516="","",INDEX('EDS Lookup'!$B$6:$B$2819,$G1516))</f>
        <v/>
      </c>
      <c r="C1516" s="17"/>
      <c r="D1516" s="6"/>
      <c r="E1516" s="7" t="str">
        <f>IF($G1516="","",INDEX('EDS Lookup'!$F$6:$F$2819,$G1516))</f>
        <v/>
      </c>
      <c r="F1516" s="8" t="str">
        <f>IF($G1516="","",INDEX('EDS Lookup'!$G$6:$G$2819,$G1516))</f>
        <v/>
      </c>
      <c r="G1516" t="str">
        <f>IF(1493&lt;=$B$4,IFERROR(MATCH(1493,'EDS Lookup'!$H$6:$H$2819,0),""),"")</f>
        <v/>
      </c>
      <c r="H1516" t="str">
        <f t="shared" si="23"/>
        <v/>
      </c>
    </row>
    <row r="1517" spans="1:8" ht="19.95" customHeight="1">
      <c r="A1517" s="5" t="str">
        <f>IF($G1517="","",INDEX('EDS Lookup'!$D$6:$D$2819,$G1517))</f>
        <v/>
      </c>
      <c r="B1517" s="5" t="str">
        <f>IF($G1517="","",INDEX('EDS Lookup'!$B$6:$B$2819,$G1517))</f>
        <v/>
      </c>
      <c r="C1517" s="17"/>
      <c r="D1517" s="6"/>
      <c r="E1517" s="7" t="str">
        <f>IF($G1517="","",INDEX('EDS Lookup'!$F$6:$F$2819,$G1517))</f>
        <v/>
      </c>
      <c r="F1517" s="8" t="str">
        <f>IF($G1517="","",INDEX('EDS Lookup'!$G$6:$G$2819,$G1517))</f>
        <v/>
      </c>
      <c r="G1517" t="str">
        <f>IF(1494&lt;=$B$4,IFERROR(MATCH(1494,'EDS Lookup'!$H$6:$H$2819,0),""),"")</f>
        <v/>
      </c>
      <c r="H1517" t="str">
        <f t="shared" si="23"/>
        <v/>
      </c>
    </row>
    <row r="1518" spans="1:8" ht="19.95" customHeight="1">
      <c r="A1518" s="5" t="str">
        <f>IF($G1518="","",INDEX('EDS Lookup'!$D$6:$D$2819,$G1518))</f>
        <v/>
      </c>
      <c r="B1518" s="5" t="str">
        <f>IF($G1518="","",INDEX('EDS Lookup'!$B$6:$B$2819,$G1518))</f>
        <v/>
      </c>
      <c r="C1518" s="17"/>
      <c r="D1518" s="6"/>
      <c r="E1518" s="7" t="str">
        <f>IF($G1518="","",INDEX('EDS Lookup'!$F$6:$F$2819,$G1518))</f>
        <v/>
      </c>
      <c r="F1518" s="8" t="str">
        <f>IF($G1518="","",INDEX('EDS Lookup'!$G$6:$G$2819,$G1518))</f>
        <v/>
      </c>
      <c r="G1518" t="str">
        <f>IF(1495&lt;=$B$4,IFERROR(MATCH(1495,'EDS Lookup'!$H$6:$H$2819,0),""),"")</f>
        <v/>
      </c>
      <c r="H1518" t="str">
        <f t="shared" si="23"/>
        <v/>
      </c>
    </row>
    <row r="1519" spans="1:8" ht="19.95" customHeight="1">
      <c r="A1519" s="5" t="str">
        <f>IF($G1519="","",INDEX('EDS Lookup'!$D$6:$D$2819,$G1519))</f>
        <v/>
      </c>
      <c r="B1519" s="5" t="str">
        <f>IF($G1519="","",INDEX('EDS Lookup'!$B$6:$B$2819,$G1519))</f>
        <v/>
      </c>
      <c r="C1519" s="17"/>
      <c r="D1519" s="6"/>
      <c r="E1519" s="7" t="str">
        <f>IF($G1519="","",INDEX('EDS Lookup'!$F$6:$F$2819,$G1519))</f>
        <v/>
      </c>
      <c r="F1519" s="8" t="str">
        <f>IF($G1519="","",INDEX('EDS Lookup'!$G$6:$G$2819,$G1519))</f>
        <v/>
      </c>
      <c r="G1519" t="str">
        <f>IF(1496&lt;=$B$4,IFERROR(MATCH(1496,'EDS Lookup'!$H$6:$H$2819,0),""),"")</f>
        <v/>
      </c>
      <c r="H1519" t="str">
        <f t="shared" si="23"/>
        <v/>
      </c>
    </row>
    <row r="1520" spans="1:8" ht="19.95" customHeight="1">
      <c r="A1520" s="5" t="str">
        <f>IF($G1520="","",INDEX('EDS Lookup'!$D$6:$D$2819,$G1520))</f>
        <v/>
      </c>
      <c r="B1520" s="5" t="str">
        <f>IF($G1520="","",INDEX('EDS Lookup'!$B$6:$B$2819,$G1520))</f>
        <v/>
      </c>
      <c r="C1520" s="17"/>
      <c r="D1520" s="6"/>
      <c r="E1520" s="7" t="str">
        <f>IF($G1520="","",INDEX('EDS Lookup'!$F$6:$F$2819,$G1520))</f>
        <v/>
      </c>
      <c r="F1520" s="8" t="str">
        <f>IF($G1520="","",INDEX('EDS Lookup'!$G$6:$G$2819,$G1520))</f>
        <v/>
      </c>
      <c r="G1520" t="str">
        <f>IF(1497&lt;=$B$4,IFERROR(MATCH(1497,'EDS Lookup'!$H$6:$H$2819,0),""),"")</f>
        <v/>
      </c>
      <c r="H1520" t="str">
        <f t="shared" si="23"/>
        <v/>
      </c>
    </row>
    <row r="1521" spans="1:8" ht="19.95" customHeight="1">
      <c r="A1521" s="5" t="str">
        <f>IF($G1521="","",INDEX('EDS Lookup'!$D$6:$D$2819,$G1521))</f>
        <v/>
      </c>
      <c r="B1521" s="5" t="str">
        <f>IF($G1521="","",INDEX('EDS Lookup'!$B$6:$B$2819,$G1521))</f>
        <v/>
      </c>
      <c r="C1521" s="17"/>
      <c r="D1521" s="6"/>
      <c r="E1521" s="7" t="str">
        <f>IF($G1521="","",INDEX('EDS Lookup'!$F$6:$F$2819,$G1521))</f>
        <v/>
      </c>
      <c r="F1521" s="8" t="str">
        <f>IF($G1521="","",INDEX('EDS Lookup'!$G$6:$G$2819,$G1521))</f>
        <v/>
      </c>
      <c r="G1521" t="str">
        <f>IF(1498&lt;=$B$4,IFERROR(MATCH(1498,'EDS Lookup'!$H$6:$H$2819,0),""),"")</f>
        <v/>
      </c>
      <c r="H1521" t="str">
        <f t="shared" si="23"/>
        <v/>
      </c>
    </row>
    <row r="1522" spans="1:8" ht="19.95" customHeight="1">
      <c r="A1522" s="5" t="str">
        <f>IF($G1522="","",INDEX('EDS Lookup'!$D$6:$D$2819,$G1522))</f>
        <v/>
      </c>
      <c r="B1522" s="5" t="str">
        <f>IF($G1522="","",INDEX('EDS Lookup'!$B$6:$B$2819,$G1522))</f>
        <v/>
      </c>
      <c r="C1522" s="17"/>
      <c r="D1522" s="6"/>
      <c r="E1522" s="7" t="str">
        <f>IF($G1522="","",INDEX('EDS Lookup'!$F$6:$F$2819,$G1522))</f>
        <v/>
      </c>
      <c r="F1522" s="8" t="str">
        <f>IF($G1522="","",INDEX('EDS Lookup'!$G$6:$G$2819,$G1522))</f>
        <v/>
      </c>
      <c r="G1522" t="str">
        <f>IF(1499&lt;=$B$4,IFERROR(MATCH(1499,'EDS Lookup'!$H$6:$H$2819,0),""),"")</f>
        <v/>
      </c>
      <c r="H1522" t="str">
        <f t="shared" si="23"/>
        <v/>
      </c>
    </row>
    <row r="1523" spans="1:8" ht="19.95" customHeight="1">
      <c r="A1523" s="5" t="str">
        <f>IF($G1523="","",INDEX('EDS Lookup'!$D$6:$D$2819,$G1523))</f>
        <v/>
      </c>
      <c r="B1523" s="5" t="str">
        <f>IF($G1523="","",INDEX('EDS Lookup'!$B$6:$B$2819,$G1523))</f>
        <v/>
      </c>
      <c r="C1523" s="17"/>
      <c r="D1523" s="6"/>
      <c r="E1523" s="7" t="str">
        <f>IF($G1523="","",INDEX('EDS Lookup'!$F$6:$F$2819,$G1523))</f>
        <v/>
      </c>
      <c r="F1523" s="8" t="str">
        <f>IF($G1523="","",INDEX('EDS Lookup'!$G$6:$G$2819,$G1523))</f>
        <v/>
      </c>
      <c r="G1523" t="str">
        <f>IF(1500&lt;=$B$4,IFERROR(MATCH(1500,'EDS Lookup'!$H$6:$H$2819,0),""),"")</f>
        <v/>
      </c>
      <c r="H1523" t="str">
        <f t="shared" si="23"/>
        <v/>
      </c>
    </row>
    <row r="1524" spans="1:8" ht="19.95" customHeight="1">
      <c r="A1524" s="5" t="str">
        <f>IF($G1524="","",INDEX('EDS Lookup'!$D$6:$D$2819,$G1524))</f>
        <v/>
      </c>
      <c r="B1524" s="5" t="str">
        <f>IF($G1524="","",INDEX('EDS Lookup'!$B$6:$B$2819,$G1524))</f>
        <v/>
      </c>
      <c r="C1524" s="17"/>
      <c r="D1524" s="6"/>
      <c r="E1524" s="7" t="str">
        <f>IF($G1524="","",INDEX('EDS Lookup'!$F$6:$F$2819,$G1524))</f>
        <v/>
      </c>
      <c r="F1524" s="8" t="str">
        <f>IF($G1524="","",INDEX('EDS Lookup'!$G$6:$G$2819,$G1524))</f>
        <v/>
      </c>
      <c r="G1524" t="str">
        <f>IF(1501&lt;=$B$4,IFERROR(MATCH(1501,'EDS Lookup'!$H$6:$H$2819,0),""),"")</f>
        <v/>
      </c>
      <c r="H1524" t="str">
        <f t="shared" si="23"/>
        <v/>
      </c>
    </row>
    <row r="1525" spans="1:8" ht="19.95" customHeight="1">
      <c r="A1525" s="5" t="str">
        <f>IF($G1525="","",INDEX('EDS Lookup'!$D$6:$D$2819,$G1525))</f>
        <v/>
      </c>
      <c r="B1525" s="5" t="str">
        <f>IF($G1525="","",INDEX('EDS Lookup'!$B$6:$B$2819,$G1525))</f>
        <v/>
      </c>
      <c r="C1525" s="17"/>
      <c r="D1525" s="6"/>
      <c r="E1525" s="7" t="str">
        <f>IF($G1525="","",INDEX('EDS Lookup'!$F$6:$F$2819,$G1525))</f>
        <v/>
      </c>
      <c r="F1525" s="8" t="str">
        <f>IF($G1525="","",INDEX('EDS Lookup'!$G$6:$G$2819,$G1525))</f>
        <v/>
      </c>
      <c r="G1525" t="str">
        <f>IF(1502&lt;=$B$4,IFERROR(MATCH(1502,'EDS Lookup'!$H$6:$H$2819,0),""),"")</f>
        <v/>
      </c>
      <c r="H1525" t="str">
        <f t="shared" si="23"/>
        <v/>
      </c>
    </row>
    <row r="1526" spans="1:8" ht="19.95" customHeight="1">
      <c r="A1526" s="5" t="str">
        <f>IF($G1526="","",INDEX('EDS Lookup'!$D$6:$D$2819,$G1526))</f>
        <v/>
      </c>
      <c r="B1526" s="5" t="str">
        <f>IF($G1526="","",INDEX('EDS Lookup'!$B$6:$B$2819,$G1526))</f>
        <v/>
      </c>
      <c r="C1526" s="17"/>
      <c r="D1526" s="6"/>
      <c r="E1526" s="7" t="str">
        <f>IF($G1526="","",INDEX('EDS Lookup'!$F$6:$F$2819,$G1526))</f>
        <v/>
      </c>
      <c r="F1526" s="8" t="str">
        <f>IF($G1526="","",INDEX('EDS Lookup'!$G$6:$G$2819,$G1526))</f>
        <v/>
      </c>
      <c r="G1526" t="str">
        <f>IF(1503&lt;=$B$4,IFERROR(MATCH(1503,'EDS Lookup'!$H$6:$H$2819,0),""),"")</f>
        <v/>
      </c>
      <c r="H1526" t="str">
        <f t="shared" si="23"/>
        <v/>
      </c>
    </row>
    <row r="1527" spans="1:8" ht="19.95" customHeight="1">
      <c r="A1527" s="5" t="str">
        <f>IF($G1527="","",INDEX('EDS Lookup'!$D$6:$D$2819,$G1527))</f>
        <v/>
      </c>
      <c r="B1527" s="5" t="str">
        <f>IF($G1527="","",INDEX('EDS Lookup'!$B$6:$B$2819,$G1527))</f>
        <v/>
      </c>
      <c r="C1527" s="17"/>
      <c r="D1527" s="6"/>
      <c r="E1527" s="7" t="str">
        <f>IF($G1527="","",INDEX('EDS Lookup'!$F$6:$F$2819,$G1527))</f>
        <v/>
      </c>
      <c r="F1527" s="8" t="str">
        <f>IF($G1527="","",INDEX('EDS Lookup'!$G$6:$G$2819,$G1527))</f>
        <v/>
      </c>
      <c r="G1527" t="str">
        <f>IF(1504&lt;=$B$4,IFERROR(MATCH(1504,'EDS Lookup'!$H$6:$H$2819,0),""),"")</f>
        <v/>
      </c>
      <c r="H1527" t="str">
        <f t="shared" si="23"/>
        <v/>
      </c>
    </row>
    <row r="1528" spans="1:8" ht="19.95" customHeight="1">
      <c r="A1528" s="5" t="str">
        <f>IF($G1528="","",INDEX('EDS Lookup'!$D$6:$D$2819,$G1528))</f>
        <v/>
      </c>
      <c r="B1528" s="5" t="str">
        <f>IF($G1528="","",INDEX('EDS Lookup'!$B$6:$B$2819,$G1528))</f>
        <v/>
      </c>
      <c r="C1528" s="17"/>
      <c r="D1528" s="6"/>
      <c r="E1528" s="7" t="str">
        <f>IF($G1528="","",INDEX('EDS Lookup'!$F$6:$F$2819,$G1528))</f>
        <v/>
      </c>
      <c r="F1528" s="8" t="str">
        <f>IF($G1528="","",INDEX('EDS Lookup'!$G$6:$G$2819,$G1528))</f>
        <v/>
      </c>
      <c r="G1528" t="str">
        <f>IF(1505&lt;=$B$4,IFERROR(MATCH(1505,'EDS Lookup'!$H$6:$H$2819,0),""),"")</f>
        <v/>
      </c>
      <c r="H1528" t="str">
        <f t="shared" si="23"/>
        <v/>
      </c>
    </row>
    <row r="1529" spans="1:8" ht="19.95" customHeight="1">
      <c r="A1529" s="5" t="str">
        <f>IF($G1529="","",INDEX('EDS Lookup'!$D$6:$D$2819,$G1529))</f>
        <v/>
      </c>
      <c r="B1529" s="5" t="str">
        <f>IF($G1529="","",INDEX('EDS Lookup'!$B$6:$B$2819,$G1529))</f>
        <v/>
      </c>
      <c r="C1529" s="17"/>
      <c r="D1529" s="6"/>
      <c r="E1529" s="7" t="str">
        <f>IF($G1529="","",INDEX('EDS Lookup'!$F$6:$F$2819,$G1529))</f>
        <v/>
      </c>
      <c r="F1529" s="8" t="str">
        <f>IF($G1529="","",INDEX('EDS Lookup'!$G$6:$G$2819,$G1529))</f>
        <v/>
      </c>
      <c r="G1529" t="str">
        <f>IF(1506&lt;=$B$4,IFERROR(MATCH(1506,'EDS Lookup'!$H$6:$H$2819,0),""),"")</f>
        <v/>
      </c>
      <c r="H1529" t="str">
        <f t="shared" si="23"/>
        <v/>
      </c>
    </row>
    <row r="1530" spans="1:8" ht="19.95" customHeight="1">
      <c r="A1530" s="5" t="str">
        <f>IF($G1530="","",INDEX('EDS Lookup'!$D$6:$D$2819,$G1530))</f>
        <v/>
      </c>
      <c r="B1530" s="5" t="str">
        <f>IF($G1530="","",INDEX('EDS Lookup'!$B$6:$B$2819,$G1530))</f>
        <v/>
      </c>
      <c r="C1530" s="17"/>
      <c r="D1530" s="6"/>
      <c r="E1530" s="7" t="str">
        <f>IF($G1530="","",INDEX('EDS Lookup'!$F$6:$F$2819,$G1530))</f>
        <v/>
      </c>
      <c r="F1530" s="8" t="str">
        <f>IF($G1530="","",INDEX('EDS Lookup'!$G$6:$G$2819,$G1530))</f>
        <v/>
      </c>
      <c r="G1530" t="str">
        <f>IF(1507&lt;=$B$4,IFERROR(MATCH(1507,'EDS Lookup'!$H$6:$H$2819,0),""),"")</f>
        <v/>
      </c>
      <c r="H1530" t="str">
        <f t="shared" si="23"/>
        <v/>
      </c>
    </row>
    <row r="1531" spans="1:8" ht="19.95" customHeight="1">
      <c r="A1531" s="5" t="str">
        <f>IF($G1531="","",INDEX('EDS Lookup'!$D$6:$D$2819,$G1531))</f>
        <v/>
      </c>
      <c r="B1531" s="5" t="str">
        <f>IF($G1531="","",INDEX('EDS Lookup'!$B$6:$B$2819,$G1531))</f>
        <v/>
      </c>
      <c r="C1531" s="17"/>
      <c r="D1531" s="6"/>
      <c r="E1531" s="7" t="str">
        <f>IF($G1531="","",INDEX('EDS Lookup'!$F$6:$F$2819,$G1531))</f>
        <v/>
      </c>
      <c r="F1531" s="8" t="str">
        <f>IF($G1531="","",INDEX('EDS Lookup'!$G$6:$G$2819,$G1531))</f>
        <v/>
      </c>
      <c r="G1531" t="str">
        <f>IF(1508&lt;=$B$4,IFERROR(MATCH(1508,'EDS Lookup'!$H$6:$H$2819,0),""),"")</f>
        <v/>
      </c>
      <c r="H1531" t="str">
        <f t="shared" si="23"/>
        <v/>
      </c>
    </row>
    <row r="1532" spans="1:8" ht="19.95" customHeight="1">
      <c r="A1532" s="5" t="str">
        <f>IF($G1532="","",INDEX('EDS Lookup'!$D$6:$D$2819,$G1532))</f>
        <v/>
      </c>
      <c r="B1532" s="5" t="str">
        <f>IF($G1532="","",INDEX('EDS Lookup'!$B$6:$B$2819,$G1532))</f>
        <v/>
      </c>
      <c r="C1532" s="17"/>
      <c r="D1532" s="6"/>
      <c r="E1532" s="7" t="str">
        <f>IF($G1532="","",INDEX('EDS Lookup'!$F$6:$F$2819,$G1532))</f>
        <v/>
      </c>
      <c r="F1532" s="8" t="str">
        <f>IF($G1532="","",INDEX('EDS Lookup'!$G$6:$G$2819,$G1532))</f>
        <v/>
      </c>
      <c r="G1532" t="str">
        <f>IF(1509&lt;=$B$4,IFERROR(MATCH(1509,'EDS Lookup'!$H$6:$H$2819,0),""),"")</f>
        <v/>
      </c>
      <c r="H1532" t="str">
        <f t="shared" si="23"/>
        <v/>
      </c>
    </row>
    <row r="1533" spans="1:8" ht="19.95" customHeight="1">
      <c r="A1533" s="5" t="str">
        <f>IF($G1533="","",INDEX('EDS Lookup'!$D$6:$D$2819,$G1533))</f>
        <v/>
      </c>
      <c r="B1533" s="5" t="str">
        <f>IF($G1533="","",INDEX('EDS Lookup'!$B$6:$B$2819,$G1533))</f>
        <v/>
      </c>
      <c r="C1533" s="17"/>
      <c r="D1533" s="6"/>
      <c r="E1533" s="7" t="str">
        <f>IF($G1533="","",INDEX('EDS Lookup'!$F$6:$F$2819,$G1533))</f>
        <v/>
      </c>
      <c r="F1533" s="8" t="str">
        <f>IF($G1533="","",INDEX('EDS Lookup'!$G$6:$G$2819,$G1533))</f>
        <v/>
      </c>
      <c r="G1533" t="str">
        <f>IF(1510&lt;=$B$4,IFERROR(MATCH(1510,'EDS Lookup'!$H$6:$H$2819,0),""),"")</f>
        <v/>
      </c>
      <c r="H1533" t="str">
        <f t="shared" si="23"/>
        <v/>
      </c>
    </row>
    <row r="1534" spans="1:8" ht="19.95" customHeight="1">
      <c r="A1534" s="5" t="str">
        <f>IF($G1534="","",INDEX('EDS Lookup'!$D$6:$D$2819,$G1534))</f>
        <v/>
      </c>
      <c r="B1534" s="5" t="str">
        <f>IF($G1534="","",INDEX('EDS Lookup'!$B$6:$B$2819,$G1534))</f>
        <v/>
      </c>
      <c r="C1534" s="17"/>
      <c r="D1534" s="6"/>
      <c r="E1534" s="7" t="str">
        <f>IF($G1534="","",INDEX('EDS Lookup'!$F$6:$F$2819,$G1534))</f>
        <v/>
      </c>
      <c r="F1534" s="8" t="str">
        <f>IF($G1534="","",INDEX('EDS Lookup'!$G$6:$G$2819,$G1534))</f>
        <v/>
      </c>
      <c r="G1534" t="str">
        <f>IF(1511&lt;=$B$4,IFERROR(MATCH(1511,'EDS Lookup'!$H$6:$H$2819,0),""),"")</f>
        <v/>
      </c>
      <c r="H1534" t="str">
        <f t="shared" si="23"/>
        <v/>
      </c>
    </row>
    <row r="1535" spans="1:8" ht="19.95" customHeight="1">
      <c r="A1535" s="5" t="str">
        <f>IF($G1535="","",INDEX('EDS Lookup'!$D$6:$D$2819,$G1535))</f>
        <v/>
      </c>
      <c r="B1535" s="5" t="str">
        <f>IF($G1535="","",INDEX('EDS Lookup'!$B$6:$B$2819,$G1535))</f>
        <v/>
      </c>
      <c r="C1535" s="17"/>
      <c r="D1535" s="6"/>
      <c r="E1535" s="7" t="str">
        <f>IF($G1535="","",INDEX('EDS Lookup'!$F$6:$F$2819,$G1535))</f>
        <v/>
      </c>
      <c r="F1535" s="8" t="str">
        <f>IF($G1535="","",INDEX('EDS Lookup'!$G$6:$G$2819,$G1535))</f>
        <v/>
      </c>
      <c r="G1535" t="str">
        <f>IF(1512&lt;=$B$4,IFERROR(MATCH(1512,'EDS Lookup'!$H$6:$H$2819,0),""),"")</f>
        <v/>
      </c>
      <c r="H1535" t="str">
        <f t="shared" si="23"/>
        <v/>
      </c>
    </row>
    <row r="1536" spans="1:8" ht="19.95" customHeight="1">
      <c r="A1536" s="5" t="str">
        <f>IF($G1536="","",INDEX('EDS Lookup'!$D$6:$D$2819,$G1536))</f>
        <v/>
      </c>
      <c r="B1536" s="5" t="str">
        <f>IF($G1536="","",INDEX('EDS Lookup'!$B$6:$B$2819,$G1536))</f>
        <v/>
      </c>
      <c r="C1536" s="17"/>
      <c r="D1536" s="6"/>
      <c r="E1536" s="7" t="str">
        <f>IF($G1536="","",INDEX('EDS Lookup'!$F$6:$F$2819,$G1536))</f>
        <v/>
      </c>
      <c r="F1536" s="8" t="str">
        <f>IF($G1536="","",INDEX('EDS Lookup'!$G$6:$G$2819,$G1536))</f>
        <v/>
      </c>
      <c r="G1536" t="str">
        <f>IF(1513&lt;=$B$4,IFERROR(MATCH(1513,'EDS Lookup'!$H$6:$H$2819,0),""),"")</f>
        <v/>
      </c>
      <c r="H1536" t="str">
        <f t="shared" si="23"/>
        <v/>
      </c>
    </row>
    <row r="1537" spans="1:8" ht="19.95" customHeight="1">
      <c r="A1537" s="5" t="str">
        <f>IF($G1537="","",INDEX('EDS Lookup'!$D$6:$D$2819,$G1537))</f>
        <v/>
      </c>
      <c r="B1537" s="5" t="str">
        <f>IF($G1537="","",INDEX('EDS Lookup'!$B$6:$B$2819,$G1537))</f>
        <v/>
      </c>
      <c r="C1537" s="17"/>
      <c r="D1537" s="6"/>
      <c r="E1537" s="7" t="str">
        <f>IF($G1537="","",INDEX('EDS Lookup'!$F$6:$F$2819,$G1537))</f>
        <v/>
      </c>
      <c r="F1537" s="8" t="str">
        <f>IF($G1537="","",INDEX('EDS Lookup'!$G$6:$G$2819,$G1537))</f>
        <v/>
      </c>
      <c r="G1537" t="str">
        <f>IF(1514&lt;=$B$4,IFERROR(MATCH(1514,'EDS Lookup'!$H$6:$H$2819,0),""),"")</f>
        <v/>
      </c>
      <c r="H1537" t="str">
        <f t="shared" si="23"/>
        <v/>
      </c>
    </row>
    <row r="1538" spans="1:8" ht="19.95" customHeight="1">
      <c r="A1538" s="5" t="str">
        <f>IF($G1538="","",INDEX('EDS Lookup'!$D$6:$D$2819,$G1538))</f>
        <v/>
      </c>
      <c r="B1538" s="5" t="str">
        <f>IF($G1538="","",INDEX('EDS Lookup'!$B$6:$B$2819,$G1538))</f>
        <v/>
      </c>
      <c r="C1538" s="17"/>
      <c r="D1538" s="6"/>
      <c r="E1538" s="7" t="str">
        <f>IF($G1538="","",INDEX('EDS Lookup'!$F$6:$F$2819,$G1538))</f>
        <v/>
      </c>
      <c r="F1538" s="8" t="str">
        <f>IF($G1538="","",INDEX('EDS Lookup'!$G$6:$G$2819,$G1538))</f>
        <v/>
      </c>
      <c r="G1538" t="str">
        <f>IF(1515&lt;=$B$4,IFERROR(MATCH(1515,'EDS Lookup'!$H$6:$H$2819,0),""),"")</f>
        <v/>
      </c>
      <c r="H1538" t="str">
        <f t="shared" si="23"/>
        <v/>
      </c>
    </row>
    <row r="1539" spans="1:8" ht="19.95" customHeight="1">
      <c r="A1539" s="5" t="str">
        <f>IF($G1539="","",INDEX('EDS Lookup'!$D$6:$D$2819,$G1539))</f>
        <v/>
      </c>
      <c r="B1539" s="5" t="str">
        <f>IF($G1539="","",INDEX('EDS Lookup'!$B$6:$B$2819,$G1539))</f>
        <v/>
      </c>
      <c r="C1539" s="17"/>
      <c r="D1539" s="6"/>
      <c r="E1539" s="7" t="str">
        <f>IF($G1539="","",INDEX('EDS Lookup'!$F$6:$F$2819,$G1539))</f>
        <v/>
      </c>
      <c r="F1539" s="8" t="str">
        <f>IF($G1539="","",INDEX('EDS Lookup'!$G$6:$G$2819,$G1539))</f>
        <v/>
      </c>
      <c r="G1539" t="str">
        <f>IF(1516&lt;=$B$4,IFERROR(MATCH(1516,'EDS Lookup'!$H$6:$H$2819,0),""),"")</f>
        <v/>
      </c>
      <c r="H1539" t="str">
        <f t="shared" si="23"/>
        <v/>
      </c>
    </row>
    <row r="1540" spans="1:8" ht="19.95" customHeight="1">
      <c r="A1540" s="5" t="str">
        <f>IF($G1540="","",INDEX('EDS Lookup'!$D$6:$D$2819,$G1540))</f>
        <v/>
      </c>
      <c r="B1540" s="5" t="str">
        <f>IF($G1540="","",INDEX('EDS Lookup'!$B$6:$B$2819,$G1540))</f>
        <v/>
      </c>
      <c r="C1540" s="17"/>
      <c r="D1540" s="6"/>
      <c r="E1540" s="7" t="str">
        <f>IF($G1540="","",INDEX('EDS Lookup'!$F$6:$F$2819,$G1540))</f>
        <v/>
      </c>
      <c r="F1540" s="8" t="str">
        <f>IF($G1540="","",INDEX('EDS Lookup'!$G$6:$G$2819,$G1540))</f>
        <v/>
      </c>
      <c r="G1540" t="str">
        <f>IF(1517&lt;=$B$4,IFERROR(MATCH(1517,'EDS Lookup'!$H$6:$H$2819,0),""),"")</f>
        <v/>
      </c>
      <c r="H1540" t="str">
        <f t="shared" si="23"/>
        <v/>
      </c>
    </row>
    <row r="1541" spans="1:8" ht="19.95" customHeight="1">
      <c r="A1541" s="5" t="str">
        <f>IF($G1541="","",INDEX('EDS Lookup'!$D$6:$D$2819,$G1541))</f>
        <v/>
      </c>
      <c r="B1541" s="5" t="str">
        <f>IF($G1541="","",INDEX('EDS Lookup'!$B$6:$B$2819,$G1541))</f>
        <v/>
      </c>
      <c r="C1541" s="17"/>
      <c r="D1541" s="6"/>
      <c r="E1541" s="7" t="str">
        <f>IF($G1541="","",INDEX('EDS Lookup'!$F$6:$F$2819,$G1541))</f>
        <v/>
      </c>
      <c r="F1541" s="8" t="str">
        <f>IF($G1541="","",INDEX('EDS Lookup'!$G$6:$G$2819,$G1541))</f>
        <v/>
      </c>
      <c r="G1541" t="str">
        <f>IF(1518&lt;=$B$4,IFERROR(MATCH(1518,'EDS Lookup'!$H$6:$H$2819,0),""),"")</f>
        <v/>
      </c>
      <c r="H1541" t="str">
        <f t="shared" si="23"/>
        <v/>
      </c>
    </row>
    <row r="1542" spans="1:8" ht="19.95" customHeight="1">
      <c r="A1542" s="5" t="str">
        <f>IF($G1542="","",INDEX('EDS Lookup'!$D$6:$D$2819,$G1542))</f>
        <v/>
      </c>
      <c r="B1542" s="5" t="str">
        <f>IF($G1542="","",INDEX('EDS Lookup'!$B$6:$B$2819,$G1542))</f>
        <v/>
      </c>
      <c r="C1542" s="17"/>
      <c r="D1542" s="6"/>
      <c r="E1542" s="7" t="str">
        <f>IF($G1542="","",INDEX('EDS Lookup'!$F$6:$F$2819,$G1542))</f>
        <v/>
      </c>
      <c r="F1542" s="8" t="str">
        <f>IF($G1542="","",INDEX('EDS Lookup'!$G$6:$G$2819,$G1542))</f>
        <v/>
      </c>
      <c r="G1542" t="str">
        <f>IF(1519&lt;=$B$4,IFERROR(MATCH(1519,'EDS Lookup'!$H$6:$H$2819,0),""),"")</f>
        <v/>
      </c>
      <c r="H1542" t="str">
        <f t="shared" si="23"/>
        <v/>
      </c>
    </row>
    <row r="1543" spans="1:8" ht="19.95" customHeight="1">
      <c r="A1543" s="5" t="str">
        <f>IF($G1543="","",INDEX('EDS Lookup'!$D$6:$D$2819,$G1543))</f>
        <v/>
      </c>
      <c r="B1543" s="5" t="str">
        <f>IF($G1543="","",INDEX('EDS Lookup'!$B$6:$B$2819,$G1543))</f>
        <v/>
      </c>
      <c r="C1543" s="17"/>
      <c r="D1543" s="6"/>
      <c r="E1543" s="7" t="str">
        <f>IF($G1543="","",INDEX('EDS Lookup'!$F$6:$F$2819,$G1543))</f>
        <v/>
      </c>
      <c r="F1543" s="8" t="str">
        <f>IF($G1543="","",INDEX('EDS Lookup'!$G$6:$G$2819,$G1543))</f>
        <v/>
      </c>
      <c r="G1543" t="str">
        <f>IF(1520&lt;=$B$4,IFERROR(MATCH(1520,'EDS Lookup'!$H$6:$H$2819,0),""),"")</f>
        <v/>
      </c>
      <c r="H1543" t="str">
        <f t="shared" si="23"/>
        <v/>
      </c>
    </row>
    <row r="1544" spans="1:8" ht="19.95" customHeight="1">
      <c r="A1544" s="5" t="str">
        <f>IF($G1544="","",INDEX('EDS Lookup'!$D$6:$D$2819,$G1544))</f>
        <v/>
      </c>
      <c r="B1544" s="5" t="str">
        <f>IF($G1544="","",INDEX('EDS Lookup'!$B$6:$B$2819,$G1544))</f>
        <v/>
      </c>
      <c r="C1544" s="17"/>
      <c r="D1544" s="6"/>
      <c r="E1544" s="7" t="str">
        <f>IF($G1544="","",INDEX('EDS Lookup'!$F$6:$F$2819,$G1544))</f>
        <v/>
      </c>
      <c r="F1544" s="8" t="str">
        <f>IF($G1544="","",INDEX('EDS Lookup'!$G$6:$G$2819,$G1544))</f>
        <v/>
      </c>
      <c r="G1544" t="str">
        <f>IF(1521&lt;=$B$4,IFERROR(MATCH(1521,'EDS Lookup'!$H$6:$H$2819,0),""),"")</f>
        <v/>
      </c>
      <c r="H1544" t="str">
        <f t="shared" si="23"/>
        <v/>
      </c>
    </row>
    <row r="1545" spans="1:8" ht="19.95" customHeight="1">
      <c r="A1545" s="5" t="str">
        <f>IF($G1545="","",INDEX('EDS Lookup'!$D$6:$D$2819,$G1545))</f>
        <v/>
      </c>
      <c r="B1545" s="5" t="str">
        <f>IF($G1545="","",INDEX('EDS Lookup'!$B$6:$B$2819,$G1545))</f>
        <v/>
      </c>
      <c r="C1545" s="17"/>
      <c r="D1545" s="6"/>
      <c r="E1545" s="7" t="str">
        <f>IF($G1545="","",INDEX('EDS Lookup'!$F$6:$F$2819,$G1545))</f>
        <v/>
      </c>
      <c r="F1545" s="8" t="str">
        <f>IF($G1545="","",INDEX('EDS Lookup'!$G$6:$G$2819,$G1545))</f>
        <v/>
      </c>
      <c r="G1545" t="str">
        <f>IF(1522&lt;=$B$4,IFERROR(MATCH(1522,'EDS Lookup'!$H$6:$H$2819,0),""),"")</f>
        <v/>
      </c>
      <c r="H1545" t="str">
        <f t="shared" si="23"/>
        <v/>
      </c>
    </row>
    <row r="1546" spans="1:8" ht="19.95" customHeight="1">
      <c r="A1546" s="5" t="str">
        <f>IF($G1546="","",INDEX('EDS Lookup'!$D$6:$D$2819,$G1546))</f>
        <v/>
      </c>
      <c r="B1546" s="5" t="str">
        <f>IF($G1546="","",INDEX('EDS Lookup'!$B$6:$B$2819,$G1546))</f>
        <v/>
      </c>
      <c r="C1546" s="17"/>
      <c r="D1546" s="6"/>
      <c r="E1546" s="7" t="str">
        <f>IF($G1546="","",INDEX('EDS Lookup'!$F$6:$F$2819,$G1546))</f>
        <v/>
      </c>
      <c r="F1546" s="8" t="str">
        <f>IF($G1546="","",INDEX('EDS Lookup'!$G$6:$G$2819,$G1546))</f>
        <v/>
      </c>
      <c r="G1546" t="str">
        <f>IF(1523&lt;=$B$4,IFERROR(MATCH(1523,'EDS Lookup'!$H$6:$H$2819,0),""),"")</f>
        <v/>
      </c>
      <c r="H1546" t="str">
        <f t="shared" si="23"/>
        <v/>
      </c>
    </row>
    <row r="1547" spans="1:8" ht="19.95" customHeight="1">
      <c r="A1547" s="5" t="str">
        <f>IF($G1547="","",INDEX('EDS Lookup'!$D$6:$D$2819,$G1547))</f>
        <v/>
      </c>
      <c r="B1547" s="5" t="str">
        <f>IF($G1547="","",INDEX('EDS Lookup'!$B$6:$B$2819,$G1547))</f>
        <v/>
      </c>
      <c r="C1547" s="17"/>
      <c r="D1547" s="6"/>
      <c r="E1547" s="7" t="str">
        <f>IF($G1547="","",INDEX('EDS Lookup'!$F$6:$F$2819,$G1547))</f>
        <v/>
      </c>
      <c r="F1547" s="8" t="str">
        <f>IF($G1547="","",INDEX('EDS Lookup'!$G$6:$G$2819,$G1547))</f>
        <v/>
      </c>
      <c r="G1547" t="str">
        <f>IF(1524&lt;=$B$4,IFERROR(MATCH(1524,'EDS Lookup'!$H$6:$H$2819,0),""),"")</f>
        <v/>
      </c>
      <c r="H1547" t="str">
        <f t="shared" si="23"/>
        <v/>
      </c>
    </row>
    <row r="1548" spans="1:8" ht="19.95" customHeight="1">
      <c r="A1548" s="5" t="str">
        <f>IF($G1548="","",INDEX('EDS Lookup'!$D$6:$D$2819,$G1548))</f>
        <v/>
      </c>
      <c r="B1548" s="5" t="str">
        <f>IF($G1548="","",INDEX('EDS Lookup'!$B$6:$B$2819,$G1548))</f>
        <v/>
      </c>
      <c r="C1548" s="17"/>
      <c r="D1548" s="6"/>
      <c r="E1548" s="7" t="str">
        <f>IF($G1548="","",INDEX('EDS Lookup'!$F$6:$F$2819,$G1548))</f>
        <v/>
      </c>
      <c r="F1548" s="8" t="str">
        <f>IF($G1548="","",INDEX('EDS Lookup'!$G$6:$G$2819,$G1548))</f>
        <v/>
      </c>
      <c r="G1548" t="str">
        <f>IF(1525&lt;=$B$4,IFERROR(MATCH(1525,'EDS Lookup'!$H$6:$H$2819,0),""),"")</f>
        <v/>
      </c>
      <c r="H1548" t="str">
        <f t="shared" si="23"/>
        <v/>
      </c>
    </row>
    <row r="1549" spans="1:8" ht="19.95" customHeight="1">
      <c r="A1549" s="5" t="str">
        <f>IF($G1549="","",INDEX('EDS Lookup'!$D$6:$D$2819,$G1549))</f>
        <v/>
      </c>
      <c r="B1549" s="5" t="str">
        <f>IF($G1549="","",INDEX('EDS Lookup'!$B$6:$B$2819,$G1549))</f>
        <v/>
      </c>
      <c r="C1549" s="17"/>
      <c r="D1549" s="6"/>
      <c r="E1549" s="7" t="str">
        <f>IF($G1549="","",INDEX('EDS Lookup'!$F$6:$F$2819,$G1549))</f>
        <v/>
      </c>
      <c r="F1549" s="8" t="str">
        <f>IF($G1549="","",INDEX('EDS Lookup'!$G$6:$G$2819,$G1549))</f>
        <v/>
      </c>
      <c r="G1549" t="str">
        <f>IF(1526&lt;=$B$4,IFERROR(MATCH(1526,'EDS Lookup'!$H$6:$H$2819,0),""),"")</f>
        <v/>
      </c>
      <c r="H1549" t="str">
        <f t="shared" si="23"/>
        <v/>
      </c>
    </row>
    <row r="1550" spans="1:8" ht="19.95" customHeight="1">
      <c r="A1550" s="5" t="str">
        <f>IF($G1550="","",INDEX('EDS Lookup'!$D$6:$D$2819,$G1550))</f>
        <v/>
      </c>
      <c r="B1550" s="5" t="str">
        <f>IF($G1550="","",INDEX('EDS Lookup'!$B$6:$B$2819,$G1550))</f>
        <v/>
      </c>
      <c r="C1550" s="17"/>
      <c r="D1550" s="6"/>
      <c r="E1550" s="7" t="str">
        <f>IF($G1550="","",INDEX('EDS Lookup'!$F$6:$F$2819,$G1550))</f>
        <v/>
      </c>
      <c r="F1550" s="8" t="str">
        <f>IF($G1550="","",INDEX('EDS Lookup'!$G$6:$G$2819,$G1550))</f>
        <v/>
      </c>
      <c r="G1550" t="str">
        <f>IF(1527&lt;=$B$4,IFERROR(MATCH(1527,'EDS Lookup'!$H$6:$H$2819,0),""),"")</f>
        <v/>
      </c>
      <c r="H1550" t="str">
        <f t="shared" si="23"/>
        <v/>
      </c>
    </row>
    <row r="1551" spans="1:8" ht="19.95" customHeight="1">
      <c r="A1551" s="5" t="str">
        <f>IF($G1551="","",INDEX('EDS Lookup'!$D$6:$D$2819,$G1551))</f>
        <v/>
      </c>
      <c r="B1551" s="5" t="str">
        <f>IF($G1551="","",INDEX('EDS Lookup'!$B$6:$B$2819,$G1551))</f>
        <v/>
      </c>
      <c r="C1551" s="17"/>
      <c r="D1551" s="6"/>
      <c r="E1551" s="7" t="str">
        <f>IF($G1551="","",INDEX('EDS Lookup'!$F$6:$F$2819,$G1551))</f>
        <v/>
      </c>
      <c r="F1551" s="8" t="str">
        <f>IF($G1551="","",INDEX('EDS Lookup'!$G$6:$G$2819,$G1551))</f>
        <v/>
      </c>
      <c r="G1551" t="str">
        <f>IF(1528&lt;=$B$4,IFERROR(MATCH(1528,'EDS Lookup'!$H$6:$H$2819,0),""),"")</f>
        <v/>
      </c>
      <c r="H1551" t="str">
        <f t="shared" si="23"/>
        <v/>
      </c>
    </row>
    <row r="1552" spans="1:8" ht="19.95" customHeight="1">
      <c r="A1552" s="5" t="str">
        <f>IF($G1552="","",INDEX('EDS Lookup'!$D$6:$D$2819,$G1552))</f>
        <v/>
      </c>
      <c r="B1552" s="5" t="str">
        <f>IF($G1552="","",INDEX('EDS Lookup'!$B$6:$B$2819,$G1552))</f>
        <v/>
      </c>
      <c r="C1552" s="17"/>
      <c r="D1552" s="6"/>
      <c r="E1552" s="7" t="str">
        <f>IF($G1552="","",INDEX('EDS Lookup'!$F$6:$F$2819,$G1552))</f>
        <v/>
      </c>
      <c r="F1552" s="8" t="str">
        <f>IF($G1552="","",INDEX('EDS Lookup'!$G$6:$G$2819,$G1552))</f>
        <v/>
      </c>
      <c r="G1552" t="str">
        <f>IF(1529&lt;=$B$4,IFERROR(MATCH(1529,'EDS Lookup'!$H$6:$H$2819,0),""),"")</f>
        <v/>
      </c>
      <c r="H1552" t="str">
        <f t="shared" si="23"/>
        <v/>
      </c>
    </row>
    <row r="1553" spans="1:8" ht="19.95" customHeight="1">
      <c r="A1553" s="5" t="str">
        <f>IF($G1553="","",INDEX('EDS Lookup'!$D$6:$D$2819,$G1553))</f>
        <v/>
      </c>
      <c r="B1553" s="5" t="str">
        <f>IF($G1553="","",INDEX('EDS Lookup'!$B$6:$B$2819,$G1553))</f>
        <v/>
      </c>
      <c r="C1553" s="17"/>
      <c r="D1553" s="6"/>
      <c r="E1553" s="7" t="str">
        <f>IF($G1553="","",INDEX('EDS Lookup'!$F$6:$F$2819,$G1553))</f>
        <v/>
      </c>
      <c r="F1553" s="8" t="str">
        <f>IF($G1553="","",INDEX('EDS Lookup'!$G$6:$G$2819,$G1553))</f>
        <v/>
      </c>
      <c r="G1553" t="str">
        <f>IF(1530&lt;=$B$4,IFERROR(MATCH(1530,'EDS Lookup'!$H$6:$H$2819,0),""),"")</f>
        <v/>
      </c>
      <c r="H1553" t="str">
        <f t="shared" si="23"/>
        <v/>
      </c>
    </row>
    <row r="1554" spans="1:8" ht="19.95" customHeight="1">
      <c r="A1554" s="5" t="str">
        <f>IF($G1554="","",INDEX('EDS Lookup'!$D$6:$D$2819,$G1554))</f>
        <v/>
      </c>
      <c r="B1554" s="5" t="str">
        <f>IF($G1554="","",INDEX('EDS Lookup'!$B$6:$B$2819,$G1554))</f>
        <v/>
      </c>
      <c r="C1554" s="17"/>
      <c r="D1554" s="6"/>
      <c r="E1554" s="7" t="str">
        <f>IF($G1554="","",INDEX('EDS Lookup'!$F$6:$F$2819,$G1554))</f>
        <v/>
      </c>
      <c r="F1554" s="8" t="str">
        <f>IF($G1554="","",INDEX('EDS Lookup'!$G$6:$G$2819,$G1554))</f>
        <v/>
      </c>
      <c r="G1554" t="str">
        <f>IF(1531&lt;=$B$4,IFERROR(MATCH(1531,'EDS Lookup'!$H$6:$H$2819,0),""),"")</f>
        <v/>
      </c>
      <c r="H1554" t="str">
        <f t="shared" si="23"/>
        <v/>
      </c>
    </row>
    <row r="1555" spans="1:8" ht="19.95" customHeight="1">
      <c r="A1555" s="5" t="str">
        <f>IF($G1555="","",INDEX('EDS Lookup'!$D$6:$D$2819,$G1555))</f>
        <v/>
      </c>
      <c r="B1555" s="5" t="str">
        <f>IF($G1555="","",INDEX('EDS Lookup'!$B$6:$B$2819,$G1555))</f>
        <v/>
      </c>
      <c r="C1555" s="17"/>
      <c r="D1555" s="6"/>
      <c r="E1555" s="7" t="str">
        <f>IF($G1555="","",INDEX('EDS Lookup'!$F$6:$F$2819,$G1555))</f>
        <v/>
      </c>
      <c r="F1555" s="8" t="str">
        <f>IF($G1555="","",INDEX('EDS Lookup'!$G$6:$G$2819,$G1555))</f>
        <v/>
      </c>
      <c r="G1555" t="str">
        <f>IF(1532&lt;=$B$4,IFERROR(MATCH(1532,'EDS Lookup'!$H$6:$H$2819,0),""),"")</f>
        <v/>
      </c>
      <c r="H1555" t="str">
        <f t="shared" si="23"/>
        <v/>
      </c>
    </row>
    <row r="1556" spans="1:8" ht="19.95" customHeight="1">
      <c r="A1556" s="5" t="str">
        <f>IF($G1556="","",INDEX('EDS Lookup'!$D$6:$D$2819,$G1556))</f>
        <v/>
      </c>
      <c r="B1556" s="5" t="str">
        <f>IF($G1556="","",INDEX('EDS Lookup'!$B$6:$B$2819,$G1556))</f>
        <v/>
      </c>
      <c r="C1556" s="17"/>
      <c r="D1556" s="6"/>
      <c r="E1556" s="7" t="str">
        <f>IF($G1556="","",INDEX('EDS Lookup'!$F$6:$F$2819,$G1556))</f>
        <v/>
      </c>
      <c r="F1556" s="8" t="str">
        <f>IF($G1556="","",INDEX('EDS Lookup'!$G$6:$G$2819,$G1556))</f>
        <v/>
      </c>
      <c r="G1556" t="str">
        <f>IF(1533&lt;=$B$4,IFERROR(MATCH(1533,'EDS Lookup'!$H$6:$H$2819,0),""),"")</f>
        <v/>
      </c>
      <c r="H1556" t="str">
        <f t="shared" si="23"/>
        <v/>
      </c>
    </row>
    <row r="1557" spans="1:8" ht="19.95" customHeight="1">
      <c r="A1557" s="5" t="str">
        <f>IF($G1557="","",INDEX('EDS Lookup'!$D$6:$D$2819,$G1557))</f>
        <v/>
      </c>
      <c r="B1557" s="5" t="str">
        <f>IF($G1557="","",INDEX('EDS Lookup'!$B$6:$B$2819,$G1557))</f>
        <v/>
      </c>
      <c r="C1557" s="17"/>
      <c r="D1557" s="6"/>
      <c r="E1557" s="7" t="str">
        <f>IF($G1557="","",INDEX('EDS Lookup'!$F$6:$F$2819,$G1557))</f>
        <v/>
      </c>
      <c r="F1557" s="8" t="str">
        <f>IF($G1557="","",INDEX('EDS Lookup'!$G$6:$G$2819,$G1557))</f>
        <v/>
      </c>
      <c r="G1557" t="str">
        <f>IF(1534&lt;=$B$4,IFERROR(MATCH(1534,'EDS Lookup'!$H$6:$H$2819,0),""),"")</f>
        <v/>
      </c>
      <c r="H1557" t="str">
        <f t="shared" si="23"/>
        <v/>
      </c>
    </row>
    <row r="1558" spans="1:8" ht="19.95" customHeight="1">
      <c r="A1558" s="5" t="str">
        <f>IF($G1558="","",INDEX('EDS Lookup'!$D$6:$D$2819,$G1558))</f>
        <v/>
      </c>
      <c r="B1558" s="5" t="str">
        <f>IF($G1558="","",INDEX('EDS Lookup'!$B$6:$B$2819,$G1558))</f>
        <v/>
      </c>
      <c r="C1558" s="17"/>
      <c r="D1558" s="6"/>
      <c r="E1558" s="7" t="str">
        <f>IF($G1558="","",INDEX('EDS Lookup'!$F$6:$F$2819,$G1558))</f>
        <v/>
      </c>
      <c r="F1558" s="8" t="str">
        <f>IF($G1558="","",INDEX('EDS Lookup'!$G$6:$G$2819,$G1558))</f>
        <v/>
      </c>
      <c r="G1558" t="str">
        <f>IF(1535&lt;=$B$4,IFERROR(MATCH(1535,'EDS Lookup'!$H$6:$H$2819,0),""),"")</f>
        <v/>
      </c>
      <c r="H1558" t="str">
        <f t="shared" si="23"/>
        <v/>
      </c>
    </row>
    <row r="1559" spans="1:8" ht="19.95" customHeight="1">
      <c r="A1559" s="5" t="str">
        <f>IF($G1559="","",INDEX('EDS Lookup'!$D$6:$D$2819,$G1559))</f>
        <v/>
      </c>
      <c r="B1559" s="5" t="str">
        <f>IF($G1559="","",INDEX('EDS Lookup'!$B$6:$B$2819,$G1559))</f>
        <v/>
      </c>
      <c r="C1559" s="17"/>
      <c r="D1559" s="6"/>
      <c r="E1559" s="7" t="str">
        <f>IF($G1559="","",INDEX('EDS Lookup'!$F$6:$F$2819,$G1559))</f>
        <v/>
      </c>
      <c r="F1559" s="8" t="str">
        <f>IF($G1559="","",INDEX('EDS Lookup'!$G$6:$G$2819,$G1559))</f>
        <v/>
      </c>
      <c r="G1559" t="str">
        <f>IF(1536&lt;=$B$4,IFERROR(MATCH(1536,'EDS Lookup'!$H$6:$H$2819,0),""),"")</f>
        <v/>
      </c>
      <c r="H1559" t="str">
        <f t="shared" si="23"/>
        <v/>
      </c>
    </row>
    <row r="1560" spans="1:8" ht="19.95" customHeight="1">
      <c r="A1560" s="5" t="str">
        <f>IF($G1560="","",INDEX('EDS Lookup'!$D$6:$D$2819,$G1560))</f>
        <v/>
      </c>
      <c r="B1560" s="5" t="str">
        <f>IF($G1560="","",INDEX('EDS Lookup'!$B$6:$B$2819,$G1560))</f>
        <v/>
      </c>
      <c r="C1560" s="17"/>
      <c r="D1560" s="6"/>
      <c r="E1560" s="7" t="str">
        <f>IF($G1560="","",INDEX('EDS Lookup'!$F$6:$F$2819,$G1560))</f>
        <v/>
      </c>
      <c r="F1560" s="8" t="str">
        <f>IF($G1560="","",INDEX('EDS Lookup'!$G$6:$G$2819,$G1560))</f>
        <v/>
      </c>
      <c r="G1560" t="str">
        <f>IF(1537&lt;=$B$4,IFERROR(MATCH(1537,'EDS Lookup'!$H$6:$H$2819,0),""),"")</f>
        <v/>
      </c>
      <c r="H1560" t="str">
        <f t="shared" ref="H1560:H1623" si="24">IF(F1560="&lt;5",5,IF(F1560="&gt;95",95,IF(ISNUMBER(F1560),F1560,"")))</f>
        <v/>
      </c>
    </row>
    <row r="1561" spans="1:8" ht="19.95" customHeight="1">
      <c r="A1561" s="5" t="str">
        <f>IF($G1561="","",INDEX('EDS Lookup'!$D$6:$D$2819,$G1561))</f>
        <v/>
      </c>
      <c r="B1561" s="5" t="str">
        <f>IF($G1561="","",INDEX('EDS Lookup'!$B$6:$B$2819,$G1561))</f>
        <v/>
      </c>
      <c r="C1561" s="17"/>
      <c r="D1561" s="6"/>
      <c r="E1561" s="7" t="str">
        <f>IF($G1561="","",INDEX('EDS Lookup'!$F$6:$F$2819,$G1561))</f>
        <v/>
      </c>
      <c r="F1561" s="8" t="str">
        <f>IF($G1561="","",INDEX('EDS Lookup'!$G$6:$G$2819,$G1561))</f>
        <v/>
      </c>
      <c r="G1561" t="str">
        <f>IF(1538&lt;=$B$4,IFERROR(MATCH(1538,'EDS Lookup'!$H$6:$H$2819,0),""),"")</f>
        <v/>
      </c>
      <c r="H1561" t="str">
        <f t="shared" si="24"/>
        <v/>
      </c>
    </row>
    <row r="1562" spans="1:8" ht="19.95" customHeight="1">
      <c r="A1562" s="5" t="str">
        <f>IF($G1562="","",INDEX('EDS Lookup'!$D$6:$D$2819,$G1562))</f>
        <v/>
      </c>
      <c r="B1562" s="5" t="str">
        <f>IF($G1562="","",INDEX('EDS Lookup'!$B$6:$B$2819,$G1562))</f>
        <v/>
      </c>
      <c r="C1562" s="17"/>
      <c r="D1562" s="6"/>
      <c r="E1562" s="7" t="str">
        <f>IF($G1562="","",INDEX('EDS Lookup'!$F$6:$F$2819,$G1562))</f>
        <v/>
      </c>
      <c r="F1562" s="8" t="str">
        <f>IF($G1562="","",INDEX('EDS Lookup'!$G$6:$G$2819,$G1562))</f>
        <v/>
      </c>
      <c r="G1562" t="str">
        <f>IF(1539&lt;=$B$4,IFERROR(MATCH(1539,'EDS Lookup'!$H$6:$H$2819,0),""),"")</f>
        <v/>
      </c>
      <c r="H1562" t="str">
        <f t="shared" si="24"/>
        <v/>
      </c>
    </row>
    <row r="1563" spans="1:8" ht="19.95" customHeight="1">
      <c r="A1563" s="5" t="str">
        <f>IF($G1563="","",INDEX('EDS Lookup'!$D$6:$D$2819,$G1563))</f>
        <v/>
      </c>
      <c r="B1563" s="5" t="str">
        <f>IF($G1563="","",INDEX('EDS Lookup'!$B$6:$B$2819,$G1563))</f>
        <v/>
      </c>
      <c r="C1563" s="17"/>
      <c r="D1563" s="6"/>
      <c r="E1563" s="7" t="str">
        <f>IF($G1563="","",INDEX('EDS Lookup'!$F$6:$F$2819,$G1563))</f>
        <v/>
      </c>
      <c r="F1563" s="8" t="str">
        <f>IF($G1563="","",INDEX('EDS Lookup'!$G$6:$G$2819,$G1563))</f>
        <v/>
      </c>
      <c r="G1563" t="str">
        <f>IF(1540&lt;=$B$4,IFERROR(MATCH(1540,'EDS Lookup'!$H$6:$H$2819,0),""),"")</f>
        <v/>
      </c>
      <c r="H1563" t="str">
        <f t="shared" si="24"/>
        <v/>
      </c>
    </row>
    <row r="1564" spans="1:8" ht="19.95" customHeight="1">
      <c r="A1564" s="5" t="str">
        <f>IF($G1564="","",INDEX('EDS Lookup'!$D$6:$D$2819,$G1564))</f>
        <v/>
      </c>
      <c r="B1564" s="5" t="str">
        <f>IF($G1564="","",INDEX('EDS Lookup'!$B$6:$B$2819,$G1564))</f>
        <v/>
      </c>
      <c r="C1564" s="17"/>
      <c r="D1564" s="6"/>
      <c r="E1564" s="7" t="str">
        <f>IF($G1564="","",INDEX('EDS Lookup'!$F$6:$F$2819,$G1564))</f>
        <v/>
      </c>
      <c r="F1564" s="8" t="str">
        <f>IF($G1564="","",INDEX('EDS Lookup'!$G$6:$G$2819,$G1564))</f>
        <v/>
      </c>
      <c r="G1564" t="str">
        <f>IF(1541&lt;=$B$4,IFERROR(MATCH(1541,'EDS Lookup'!$H$6:$H$2819,0),""),"")</f>
        <v/>
      </c>
      <c r="H1564" t="str">
        <f t="shared" si="24"/>
        <v/>
      </c>
    </row>
    <row r="1565" spans="1:8" ht="19.95" customHeight="1">
      <c r="A1565" s="5" t="str">
        <f>IF($G1565="","",INDEX('EDS Lookup'!$D$6:$D$2819,$G1565))</f>
        <v/>
      </c>
      <c r="B1565" s="5" t="str">
        <f>IF($G1565="","",INDEX('EDS Lookup'!$B$6:$B$2819,$G1565))</f>
        <v/>
      </c>
      <c r="C1565" s="17"/>
      <c r="D1565" s="6"/>
      <c r="E1565" s="7" t="str">
        <f>IF($G1565="","",INDEX('EDS Lookup'!$F$6:$F$2819,$G1565))</f>
        <v/>
      </c>
      <c r="F1565" s="8" t="str">
        <f>IF($G1565="","",INDEX('EDS Lookup'!$G$6:$G$2819,$G1565))</f>
        <v/>
      </c>
      <c r="G1565" t="str">
        <f>IF(1542&lt;=$B$4,IFERROR(MATCH(1542,'EDS Lookup'!$H$6:$H$2819,0),""),"")</f>
        <v/>
      </c>
      <c r="H1565" t="str">
        <f t="shared" si="24"/>
        <v/>
      </c>
    </row>
    <row r="1566" spans="1:8" ht="19.95" customHeight="1">
      <c r="A1566" s="5" t="str">
        <f>IF($G1566="","",INDEX('EDS Lookup'!$D$6:$D$2819,$G1566))</f>
        <v/>
      </c>
      <c r="B1566" s="5" t="str">
        <f>IF($G1566="","",INDEX('EDS Lookup'!$B$6:$B$2819,$G1566))</f>
        <v/>
      </c>
      <c r="C1566" s="17"/>
      <c r="D1566" s="6"/>
      <c r="E1566" s="7" t="str">
        <f>IF($G1566="","",INDEX('EDS Lookup'!$F$6:$F$2819,$G1566))</f>
        <v/>
      </c>
      <c r="F1566" s="8" t="str">
        <f>IF($G1566="","",INDEX('EDS Lookup'!$G$6:$G$2819,$G1566))</f>
        <v/>
      </c>
      <c r="G1566" t="str">
        <f>IF(1543&lt;=$B$4,IFERROR(MATCH(1543,'EDS Lookup'!$H$6:$H$2819,0),""),"")</f>
        <v/>
      </c>
      <c r="H1566" t="str">
        <f t="shared" si="24"/>
        <v/>
      </c>
    </row>
    <row r="1567" spans="1:8" ht="19.95" customHeight="1">
      <c r="A1567" s="5" t="str">
        <f>IF($G1567="","",INDEX('EDS Lookup'!$D$6:$D$2819,$G1567))</f>
        <v/>
      </c>
      <c r="B1567" s="5" t="str">
        <f>IF($G1567="","",INDEX('EDS Lookup'!$B$6:$B$2819,$G1567))</f>
        <v/>
      </c>
      <c r="C1567" s="17"/>
      <c r="D1567" s="6"/>
      <c r="E1567" s="7" t="str">
        <f>IF($G1567="","",INDEX('EDS Lookup'!$F$6:$F$2819,$G1567))</f>
        <v/>
      </c>
      <c r="F1567" s="8" t="str">
        <f>IF($G1567="","",INDEX('EDS Lookup'!$G$6:$G$2819,$G1567))</f>
        <v/>
      </c>
      <c r="G1567" t="str">
        <f>IF(1544&lt;=$B$4,IFERROR(MATCH(1544,'EDS Lookup'!$H$6:$H$2819,0),""),"")</f>
        <v/>
      </c>
      <c r="H1567" t="str">
        <f t="shared" si="24"/>
        <v/>
      </c>
    </row>
    <row r="1568" spans="1:8" ht="19.95" customHeight="1">
      <c r="A1568" s="5" t="str">
        <f>IF($G1568="","",INDEX('EDS Lookup'!$D$6:$D$2819,$G1568))</f>
        <v/>
      </c>
      <c r="B1568" s="5" t="str">
        <f>IF($G1568="","",INDEX('EDS Lookup'!$B$6:$B$2819,$G1568))</f>
        <v/>
      </c>
      <c r="C1568" s="17"/>
      <c r="D1568" s="6"/>
      <c r="E1568" s="7" t="str">
        <f>IF($G1568="","",INDEX('EDS Lookup'!$F$6:$F$2819,$G1568))</f>
        <v/>
      </c>
      <c r="F1568" s="8" t="str">
        <f>IF($G1568="","",INDEX('EDS Lookup'!$G$6:$G$2819,$G1568))</f>
        <v/>
      </c>
      <c r="G1568" t="str">
        <f>IF(1545&lt;=$B$4,IFERROR(MATCH(1545,'EDS Lookup'!$H$6:$H$2819,0),""),"")</f>
        <v/>
      </c>
      <c r="H1568" t="str">
        <f t="shared" si="24"/>
        <v/>
      </c>
    </row>
    <row r="1569" spans="1:8" ht="19.95" customHeight="1">
      <c r="A1569" s="5" t="str">
        <f>IF($G1569="","",INDEX('EDS Lookup'!$D$6:$D$2819,$G1569))</f>
        <v/>
      </c>
      <c r="B1569" s="5" t="str">
        <f>IF($G1569="","",INDEX('EDS Lookup'!$B$6:$B$2819,$G1569))</f>
        <v/>
      </c>
      <c r="C1569" s="17"/>
      <c r="D1569" s="6"/>
      <c r="E1569" s="7" t="str">
        <f>IF($G1569="","",INDEX('EDS Lookup'!$F$6:$F$2819,$G1569))</f>
        <v/>
      </c>
      <c r="F1569" s="8" t="str">
        <f>IF($G1569="","",INDEX('EDS Lookup'!$G$6:$G$2819,$G1569))</f>
        <v/>
      </c>
      <c r="G1569" t="str">
        <f>IF(1546&lt;=$B$4,IFERROR(MATCH(1546,'EDS Lookup'!$H$6:$H$2819,0),""),"")</f>
        <v/>
      </c>
      <c r="H1569" t="str">
        <f t="shared" si="24"/>
        <v/>
      </c>
    </row>
    <row r="1570" spans="1:8" ht="19.95" customHeight="1">
      <c r="A1570" s="5" t="str">
        <f>IF($G1570="","",INDEX('EDS Lookup'!$D$6:$D$2819,$G1570))</f>
        <v/>
      </c>
      <c r="B1570" s="5" t="str">
        <f>IF($G1570="","",INDEX('EDS Lookup'!$B$6:$B$2819,$G1570))</f>
        <v/>
      </c>
      <c r="C1570" s="17"/>
      <c r="D1570" s="6"/>
      <c r="E1570" s="7" t="str">
        <f>IF($G1570="","",INDEX('EDS Lookup'!$F$6:$F$2819,$G1570))</f>
        <v/>
      </c>
      <c r="F1570" s="8" t="str">
        <f>IF($G1570="","",INDEX('EDS Lookup'!$G$6:$G$2819,$G1570))</f>
        <v/>
      </c>
      <c r="G1570" t="str">
        <f>IF(1547&lt;=$B$4,IFERROR(MATCH(1547,'EDS Lookup'!$H$6:$H$2819,0),""),"")</f>
        <v/>
      </c>
      <c r="H1570" t="str">
        <f t="shared" si="24"/>
        <v/>
      </c>
    </row>
    <row r="1571" spans="1:8" ht="19.95" customHeight="1">
      <c r="A1571" s="5" t="str">
        <f>IF($G1571="","",INDEX('EDS Lookup'!$D$6:$D$2819,$G1571))</f>
        <v/>
      </c>
      <c r="B1571" s="5" t="str">
        <f>IF($G1571="","",INDEX('EDS Lookup'!$B$6:$B$2819,$G1571))</f>
        <v/>
      </c>
      <c r="C1571" s="17"/>
      <c r="D1571" s="6"/>
      <c r="E1571" s="7" t="str">
        <f>IF($G1571="","",INDEX('EDS Lookup'!$F$6:$F$2819,$G1571))</f>
        <v/>
      </c>
      <c r="F1571" s="8" t="str">
        <f>IF($G1571="","",INDEX('EDS Lookup'!$G$6:$G$2819,$G1571))</f>
        <v/>
      </c>
      <c r="G1571" t="str">
        <f>IF(1548&lt;=$B$4,IFERROR(MATCH(1548,'EDS Lookup'!$H$6:$H$2819,0),""),"")</f>
        <v/>
      </c>
      <c r="H1571" t="str">
        <f t="shared" si="24"/>
        <v/>
      </c>
    </row>
    <row r="1572" spans="1:8" ht="19.95" customHeight="1">
      <c r="A1572" s="5" t="str">
        <f>IF($G1572="","",INDEX('EDS Lookup'!$D$6:$D$2819,$G1572))</f>
        <v/>
      </c>
      <c r="B1572" s="5" t="str">
        <f>IF($G1572="","",INDEX('EDS Lookup'!$B$6:$B$2819,$G1572))</f>
        <v/>
      </c>
      <c r="C1572" s="17"/>
      <c r="D1572" s="6"/>
      <c r="E1572" s="7" t="str">
        <f>IF($G1572="","",INDEX('EDS Lookup'!$F$6:$F$2819,$G1572))</f>
        <v/>
      </c>
      <c r="F1572" s="8" t="str">
        <f>IF($G1572="","",INDEX('EDS Lookup'!$G$6:$G$2819,$G1572))</f>
        <v/>
      </c>
      <c r="G1572" t="str">
        <f>IF(1549&lt;=$B$4,IFERROR(MATCH(1549,'EDS Lookup'!$H$6:$H$2819,0),""),"")</f>
        <v/>
      </c>
      <c r="H1572" t="str">
        <f t="shared" si="24"/>
        <v/>
      </c>
    </row>
    <row r="1573" spans="1:8" ht="19.95" customHeight="1">
      <c r="A1573" s="5" t="str">
        <f>IF($G1573="","",INDEX('EDS Lookup'!$D$6:$D$2819,$G1573))</f>
        <v/>
      </c>
      <c r="B1573" s="5" t="str">
        <f>IF($G1573="","",INDEX('EDS Lookup'!$B$6:$B$2819,$G1573))</f>
        <v/>
      </c>
      <c r="C1573" s="17"/>
      <c r="D1573" s="6"/>
      <c r="E1573" s="7" t="str">
        <f>IF($G1573="","",INDEX('EDS Lookup'!$F$6:$F$2819,$G1573))</f>
        <v/>
      </c>
      <c r="F1573" s="8" t="str">
        <f>IF($G1573="","",INDEX('EDS Lookup'!$G$6:$G$2819,$G1573))</f>
        <v/>
      </c>
      <c r="G1573" t="str">
        <f>IF(1550&lt;=$B$4,IFERROR(MATCH(1550,'EDS Lookup'!$H$6:$H$2819,0),""),"")</f>
        <v/>
      </c>
      <c r="H1573" t="str">
        <f t="shared" si="24"/>
        <v/>
      </c>
    </row>
    <row r="1574" spans="1:8" ht="19.95" customHeight="1">
      <c r="A1574" s="5" t="str">
        <f>IF($G1574="","",INDEX('EDS Lookup'!$D$6:$D$2819,$G1574))</f>
        <v/>
      </c>
      <c r="B1574" s="5" t="str">
        <f>IF($G1574="","",INDEX('EDS Lookup'!$B$6:$B$2819,$G1574))</f>
        <v/>
      </c>
      <c r="C1574" s="17"/>
      <c r="D1574" s="6"/>
      <c r="E1574" s="7" t="str">
        <f>IF($G1574="","",INDEX('EDS Lookup'!$F$6:$F$2819,$G1574))</f>
        <v/>
      </c>
      <c r="F1574" s="8" t="str">
        <f>IF($G1574="","",INDEX('EDS Lookup'!$G$6:$G$2819,$G1574))</f>
        <v/>
      </c>
      <c r="G1574" t="str">
        <f>IF(1551&lt;=$B$4,IFERROR(MATCH(1551,'EDS Lookup'!$H$6:$H$2819,0),""),"")</f>
        <v/>
      </c>
      <c r="H1574" t="str">
        <f t="shared" si="24"/>
        <v/>
      </c>
    </row>
    <row r="1575" spans="1:8" ht="19.95" customHeight="1">
      <c r="A1575" s="5" t="str">
        <f>IF($G1575="","",INDEX('EDS Lookup'!$D$6:$D$2819,$G1575))</f>
        <v/>
      </c>
      <c r="B1575" s="5" t="str">
        <f>IF($G1575="","",INDEX('EDS Lookup'!$B$6:$B$2819,$G1575))</f>
        <v/>
      </c>
      <c r="C1575" s="17"/>
      <c r="D1575" s="6"/>
      <c r="E1575" s="7" t="str">
        <f>IF($G1575="","",INDEX('EDS Lookup'!$F$6:$F$2819,$G1575))</f>
        <v/>
      </c>
      <c r="F1575" s="8" t="str">
        <f>IF($G1575="","",INDEX('EDS Lookup'!$G$6:$G$2819,$G1575))</f>
        <v/>
      </c>
      <c r="G1575" t="str">
        <f>IF(1552&lt;=$B$4,IFERROR(MATCH(1552,'EDS Lookup'!$H$6:$H$2819,0),""),"")</f>
        <v/>
      </c>
      <c r="H1575" t="str">
        <f t="shared" si="24"/>
        <v/>
      </c>
    </row>
    <row r="1576" spans="1:8" ht="19.95" customHeight="1">
      <c r="A1576" s="5" t="str">
        <f>IF($G1576="","",INDEX('EDS Lookup'!$D$6:$D$2819,$G1576))</f>
        <v/>
      </c>
      <c r="B1576" s="5" t="str">
        <f>IF($G1576="","",INDEX('EDS Lookup'!$B$6:$B$2819,$G1576))</f>
        <v/>
      </c>
      <c r="C1576" s="17"/>
      <c r="D1576" s="6"/>
      <c r="E1576" s="7" t="str">
        <f>IF($G1576="","",INDEX('EDS Lookup'!$F$6:$F$2819,$G1576))</f>
        <v/>
      </c>
      <c r="F1576" s="8" t="str">
        <f>IF($G1576="","",INDEX('EDS Lookup'!$G$6:$G$2819,$G1576))</f>
        <v/>
      </c>
      <c r="G1576" t="str">
        <f>IF(1553&lt;=$B$4,IFERROR(MATCH(1553,'EDS Lookup'!$H$6:$H$2819,0),""),"")</f>
        <v/>
      </c>
      <c r="H1576" t="str">
        <f t="shared" si="24"/>
        <v/>
      </c>
    </row>
    <row r="1577" spans="1:8" ht="19.95" customHeight="1">
      <c r="A1577" s="5" t="str">
        <f>IF($G1577="","",INDEX('EDS Lookup'!$D$6:$D$2819,$G1577))</f>
        <v/>
      </c>
      <c r="B1577" s="5" t="str">
        <f>IF($G1577="","",INDEX('EDS Lookup'!$B$6:$B$2819,$G1577))</f>
        <v/>
      </c>
      <c r="C1577" s="17"/>
      <c r="D1577" s="6"/>
      <c r="E1577" s="7" t="str">
        <f>IF($G1577="","",INDEX('EDS Lookup'!$F$6:$F$2819,$G1577))</f>
        <v/>
      </c>
      <c r="F1577" s="8" t="str">
        <f>IF($G1577="","",INDEX('EDS Lookup'!$G$6:$G$2819,$G1577))</f>
        <v/>
      </c>
      <c r="G1577" t="str">
        <f>IF(1554&lt;=$B$4,IFERROR(MATCH(1554,'EDS Lookup'!$H$6:$H$2819,0),""),"")</f>
        <v/>
      </c>
      <c r="H1577" t="str">
        <f t="shared" si="24"/>
        <v/>
      </c>
    </row>
    <row r="1578" spans="1:8" ht="19.95" customHeight="1">
      <c r="A1578" s="5" t="str">
        <f>IF($G1578="","",INDEX('EDS Lookup'!$D$6:$D$2819,$G1578))</f>
        <v/>
      </c>
      <c r="B1578" s="5" t="str">
        <f>IF($G1578="","",INDEX('EDS Lookup'!$B$6:$B$2819,$G1578))</f>
        <v/>
      </c>
      <c r="C1578" s="17"/>
      <c r="D1578" s="6"/>
      <c r="E1578" s="7" t="str">
        <f>IF($G1578="","",INDEX('EDS Lookup'!$F$6:$F$2819,$G1578))</f>
        <v/>
      </c>
      <c r="F1578" s="8" t="str">
        <f>IF($G1578="","",INDEX('EDS Lookup'!$G$6:$G$2819,$G1578))</f>
        <v/>
      </c>
      <c r="G1578" t="str">
        <f>IF(1555&lt;=$B$4,IFERROR(MATCH(1555,'EDS Lookup'!$H$6:$H$2819,0),""),"")</f>
        <v/>
      </c>
      <c r="H1578" t="str">
        <f t="shared" si="24"/>
        <v/>
      </c>
    </row>
    <row r="1579" spans="1:8" ht="19.95" customHeight="1">
      <c r="A1579" s="5" t="str">
        <f>IF($G1579="","",INDEX('EDS Lookup'!$D$6:$D$2819,$G1579))</f>
        <v/>
      </c>
      <c r="B1579" s="5" t="str">
        <f>IF($G1579="","",INDEX('EDS Lookup'!$B$6:$B$2819,$G1579))</f>
        <v/>
      </c>
      <c r="C1579" s="17"/>
      <c r="D1579" s="6"/>
      <c r="E1579" s="7" t="str">
        <f>IF($G1579="","",INDEX('EDS Lookup'!$F$6:$F$2819,$G1579))</f>
        <v/>
      </c>
      <c r="F1579" s="8" t="str">
        <f>IF($G1579="","",INDEX('EDS Lookup'!$G$6:$G$2819,$G1579))</f>
        <v/>
      </c>
      <c r="G1579" t="str">
        <f>IF(1556&lt;=$B$4,IFERROR(MATCH(1556,'EDS Lookup'!$H$6:$H$2819,0),""),"")</f>
        <v/>
      </c>
      <c r="H1579" t="str">
        <f t="shared" si="24"/>
        <v/>
      </c>
    </row>
    <row r="1580" spans="1:8" ht="19.95" customHeight="1">
      <c r="A1580" s="5" t="str">
        <f>IF($G1580="","",INDEX('EDS Lookup'!$D$6:$D$2819,$G1580))</f>
        <v/>
      </c>
      <c r="B1580" s="5" t="str">
        <f>IF($G1580="","",INDEX('EDS Lookup'!$B$6:$B$2819,$G1580))</f>
        <v/>
      </c>
      <c r="C1580" s="17"/>
      <c r="D1580" s="6"/>
      <c r="E1580" s="7" t="str">
        <f>IF($G1580="","",INDEX('EDS Lookup'!$F$6:$F$2819,$G1580))</f>
        <v/>
      </c>
      <c r="F1580" s="8" t="str">
        <f>IF($G1580="","",INDEX('EDS Lookup'!$G$6:$G$2819,$G1580))</f>
        <v/>
      </c>
      <c r="G1580" t="str">
        <f>IF(1557&lt;=$B$4,IFERROR(MATCH(1557,'EDS Lookup'!$H$6:$H$2819,0),""),"")</f>
        <v/>
      </c>
      <c r="H1580" t="str">
        <f t="shared" si="24"/>
        <v/>
      </c>
    </row>
    <row r="1581" spans="1:8" ht="19.95" customHeight="1">
      <c r="A1581" s="5" t="str">
        <f>IF($G1581="","",INDEX('EDS Lookup'!$D$6:$D$2819,$G1581))</f>
        <v/>
      </c>
      <c r="B1581" s="5" t="str">
        <f>IF($G1581="","",INDEX('EDS Lookup'!$B$6:$B$2819,$G1581))</f>
        <v/>
      </c>
      <c r="C1581" s="17"/>
      <c r="D1581" s="6"/>
      <c r="E1581" s="7" t="str">
        <f>IF($G1581="","",INDEX('EDS Lookup'!$F$6:$F$2819,$G1581))</f>
        <v/>
      </c>
      <c r="F1581" s="8" t="str">
        <f>IF($G1581="","",INDEX('EDS Lookup'!$G$6:$G$2819,$G1581))</f>
        <v/>
      </c>
      <c r="G1581" t="str">
        <f>IF(1558&lt;=$B$4,IFERROR(MATCH(1558,'EDS Lookup'!$H$6:$H$2819,0),""),"")</f>
        <v/>
      </c>
      <c r="H1581" t="str">
        <f t="shared" si="24"/>
        <v/>
      </c>
    </row>
    <row r="1582" spans="1:8" ht="19.95" customHeight="1">
      <c r="A1582" s="5" t="str">
        <f>IF($G1582="","",INDEX('EDS Lookup'!$D$6:$D$2819,$G1582))</f>
        <v/>
      </c>
      <c r="B1582" s="5" t="str">
        <f>IF($G1582="","",INDEX('EDS Lookup'!$B$6:$B$2819,$G1582))</f>
        <v/>
      </c>
      <c r="C1582" s="17"/>
      <c r="D1582" s="6"/>
      <c r="E1582" s="7" t="str">
        <f>IF($G1582="","",INDEX('EDS Lookup'!$F$6:$F$2819,$G1582))</f>
        <v/>
      </c>
      <c r="F1582" s="8" t="str">
        <f>IF($G1582="","",INDEX('EDS Lookup'!$G$6:$G$2819,$G1582))</f>
        <v/>
      </c>
      <c r="G1582" t="str">
        <f>IF(1559&lt;=$B$4,IFERROR(MATCH(1559,'EDS Lookup'!$H$6:$H$2819,0),""),"")</f>
        <v/>
      </c>
      <c r="H1582" t="str">
        <f t="shared" si="24"/>
        <v/>
      </c>
    </row>
    <row r="1583" spans="1:8" ht="19.95" customHeight="1">
      <c r="A1583" s="5" t="str">
        <f>IF($G1583="","",INDEX('EDS Lookup'!$D$6:$D$2819,$G1583))</f>
        <v/>
      </c>
      <c r="B1583" s="5" t="str">
        <f>IF($G1583="","",INDEX('EDS Lookup'!$B$6:$B$2819,$G1583))</f>
        <v/>
      </c>
      <c r="C1583" s="17"/>
      <c r="D1583" s="6"/>
      <c r="E1583" s="7" t="str">
        <f>IF($G1583="","",INDEX('EDS Lookup'!$F$6:$F$2819,$G1583))</f>
        <v/>
      </c>
      <c r="F1583" s="8" t="str">
        <f>IF($G1583="","",INDEX('EDS Lookup'!$G$6:$G$2819,$G1583))</f>
        <v/>
      </c>
      <c r="G1583" t="str">
        <f>IF(1560&lt;=$B$4,IFERROR(MATCH(1560,'EDS Lookup'!$H$6:$H$2819,0),""),"")</f>
        <v/>
      </c>
      <c r="H1583" t="str">
        <f t="shared" si="24"/>
        <v/>
      </c>
    </row>
    <row r="1584" spans="1:8" ht="19.95" customHeight="1">
      <c r="A1584" s="5" t="str">
        <f>IF($G1584="","",INDEX('EDS Lookup'!$D$6:$D$2819,$G1584))</f>
        <v/>
      </c>
      <c r="B1584" s="5" t="str">
        <f>IF($G1584="","",INDEX('EDS Lookup'!$B$6:$B$2819,$G1584))</f>
        <v/>
      </c>
      <c r="C1584" s="17"/>
      <c r="D1584" s="6"/>
      <c r="E1584" s="7" t="str">
        <f>IF($G1584="","",INDEX('EDS Lookup'!$F$6:$F$2819,$G1584))</f>
        <v/>
      </c>
      <c r="F1584" s="8" t="str">
        <f>IF($G1584="","",INDEX('EDS Lookup'!$G$6:$G$2819,$G1584))</f>
        <v/>
      </c>
      <c r="G1584" t="str">
        <f>IF(1561&lt;=$B$4,IFERROR(MATCH(1561,'EDS Lookup'!$H$6:$H$2819,0),""),"")</f>
        <v/>
      </c>
      <c r="H1584" t="str">
        <f t="shared" si="24"/>
        <v/>
      </c>
    </row>
    <row r="1585" spans="1:8" ht="19.95" customHeight="1">
      <c r="A1585" s="5" t="str">
        <f>IF($G1585="","",INDEX('EDS Lookup'!$D$6:$D$2819,$G1585))</f>
        <v/>
      </c>
      <c r="B1585" s="5" t="str">
        <f>IF($G1585="","",INDEX('EDS Lookup'!$B$6:$B$2819,$G1585))</f>
        <v/>
      </c>
      <c r="C1585" s="17"/>
      <c r="D1585" s="6"/>
      <c r="E1585" s="7" t="str">
        <f>IF($G1585="","",INDEX('EDS Lookup'!$F$6:$F$2819,$G1585))</f>
        <v/>
      </c>
      <c r="F1585" s="8" t="str">
        <f>IF($G1585="","",INDEX('EDS Lookup'!$G$6:$G$2819,$G1585))</f>
        <v/>
      </c>
      <c r="G1585" t="str">
        <f>IF(1562&lt;=$B$4,IFERROR(MATCH(1562,'EDS Lookup'!$H$6:$H$2819,0),""),"")</f>
        <v/>
      </c>
      <c r="H1585" t="str">
        <f t="shared" si="24"/>
        <v/>
      </c>
    </row>
    <row r="1586" spans="1:8" ht="19.95" customHeight="1">
      <c r="A1586" s="5" t="str">
        <f>IF($G1586="","",INDEX('EDS Lookup'!$D$6:$D$2819,$G1586))</f>
        <v/>
      </c>
      <c r="B1586" s="5" t="str">
        <f>IF($G1586="","",INDEX('EDS Lookup'!$B$6:$B$2819,$G1586))</f>
        <v/>
      </c>
      <c r="C1586" s="17"/>
      <c r="D1586" s="6"/>
      <c r="E1586" s="7" t="str">
        <f>IF($G1586="","",INDEX('EDS Lookup'!$F$6:$F$2819,$G1586))</f>
        <v/>
      </c>
      <c r="F1586" s="8" t="str">
        <f>IF($G1586="","",INDEX('EDS Lookup'!$G$6:$G$2819,$G1586))</f>
        <v/>
      </c>
      <c r="G1586" t="str">
        <f>IF(1563&lt;=$B$4,IFERROR(MATCH(1563,'EDS Lookup'!$H$6:$H$2819,0),""),"")</f>
        <v/>
      </c>
      <c r="H1586" t="str">
        <f t="shared" si="24"/>
        <v/>
      </c>
    </row>
    <row r="1587" spans="1:8" ht="19.95" customHeight="1">
      <c r="A1587" s="5" t="str">
        <f>IF($G1587="","",INDEX('EDS Lookup'!$D$6:$D$2819,$G1587))</f>
        <v/>
      </c>
      <c r="B1587" s="5" t="str">
        <f>IF($G1587="","",INDEX('EDS Lookup'!$B$6:$B$2819,$G1587))</f>
        <v/>
      </c>
      <c r="C1587" s="17"/>
      <c r="D1587" s="6"/>
      <c r="E1587" s="7" t="str">
        <f>IF($G1587="","",INDEX('EDS Lookup'!$F$6:$F$2819,$G1587))</f>
        <v/>
      </c>
      <c r="F1587" s="8" t="str">
        <f>IF($G1587="","",INDEX('EDS Lookup'!$G$6:$G$2819,$G1587))</f>
        <v/>
      </c>
      <c r="G1587" t="str">
        <f>IF(1564&lt;=$B$4,IFERROR(MATCH(1564,'EDS Lookup'!$H$6:$H$2819,0),""),"")</f>
        <v/>
      </c>
      <c r="H1587" t="str">
        <f t="shared" si="24"/>
        <v/>
      </c>
    </row>
    <row r="1588" spans="1:8" ht="19.95" customHeight="1">
      <c r="A1588" s="5" t="str">
        <f>IF($G1588="","",INDEX('EDS Lookup'!$D$6:$D$2819,$G1588))</f>
        <v/>
      </c>
      <c r="B1588" s="5" t="str">
        <f>IF($G1588="","",INDEX('EDS Lookup'!$B$6:$B$2819,$G1588))</f>
        <v/>
      </c>
      <c r="C1588" s="17"/>
      <c r="D1588" s="6"/>
      <c r="E1588" s="7" t="str">
        <f>IF($G1588="","",INDEX('EDS Lookup'!$F$6:$F$2819,$G1588))</f>
        <v/>
      </c>
      <c r="F1588" s="8" t="str">
        <f>IF($G1588="","",INDEX('EDS Lookup'!$G$6:$G$2819,$G1588))</f>
        <v/>
      </c>
      <c r="G1588" t="str">
        <f>IF(1565&lt;=$B$4,IFERROR(MATCH(1565,'EDS Lookup'!$H$6:$H$2819,0),""),"")</f>
        <v/>
      </c>
      <c r="H1588" t="str">
        <f t="shared" si="24"/>
        <v/>
      </c>
    </row>
    <row r="1589" spans="1:8" ht="19.95" customHeight="1">
      <c r="A1589" s="5" t="str">
        <f>IF($G1589="","",INDEX('EDS Lookup'!$D$6:$D$2819,$G1589))</f>
        <v/>
      </c>
      <c r="B1589" s="5" t="str">
        <f>IF($G1589="","",INDEX('EDS Lookup'!$B$6:$B$2819,$G1589))</f>
        <v/>
      </c>
      <c r="C1589" s="17"/>
      <c r="D1589" s="6"/>
      <c r="E1589" s="7" t="str">
        <f>IF($G1589="","",INDEX('EDS Lookup'!$F$6:$F$2819,$G1589))</f>
        <v/>
      </c>
      <c r="F1589" s="8" t="str">
        <f>IF($G1589="","",INDEX('EDS Lookup'!$G$6:$G$2819,$G1589))</f>
        <v/>
      </c>
      <c r="G1589" t="str">
        <f>IF(1566&lt;=$B$4,IFERROR(MATCH(1566,'EDS Lookup'!$H$6:$H$2819,0),""),"")</f>
        <v/>
      </c>
      <c r="H1589" t="str">
        <f t="shared" si="24"/>
        <v/>
      </c>
    </row>
    <row r="1590" spans="1:8" ht="19.95" customHeight="1">
      <c r="A1590" s="5" t="str">
        <f>IF($G1590="","",INDEX('EDS Lookup'!$D$6:$D$2819,$G1590))</f>
        <v/>
      </c>
      <c r="B1590" s="5" t="str">
        <f>IF($G1590="","",INDEX('EDS Lookup'!$B$6:$B$2819,$G1590))</f>
        <v/>
      </c>
      <c r="C1590" s="17"/>
      <c r="D1590" s="6"/>
      <c r="E1590" s="7" t="str">
        <f>IF($G1590="","",INDEX('EDS Lookup'!$F$6:$F$2819,$G1590))</f>
        <v/>
      </c>
      <c r="F1590" s="8" t="str">
        <f>IF($G1590="","",INDEX('EDS Lookup'!$G$6:$G$2819,$G1590))</f>
        <v/>
      </c>
      <c r="G1590" t="str">
        <f>IF(1567&lt;=$B$4,IFERROR(MATCH(1567,'EDS Lookup'!$H$6:$H$2819,0),""),"")</f>
        <v/>
      </c>
      <c r="H1590" t="str">
        <f t="shared" si="24"/>
        <v/>
      </c>
    </row>
    <row r="1591" spans="1:8" ht="19.95" customHeight="1">
      <c r="A1591" s="5" t="str">
        <f>IF($G1591="","",INDEX('EDS Lookup'!$D$6:$D$2819,$G1591))</f>
        <v/>
      </c>
      <c r="B1591" s="5" t="str">
        <f>IF($G1591="","",INDEX('EDS Lookup'!$B$6:$B$2819,$G1591))</f>
        <v/>
      </c>
      <c r="C1591" s="17"/>
      <c r="D1591" s="6"/>
      <c r="E1591" s="7" t="str">
        <f>IF($G1591="","",INDEX('EDS Lookup'!$F$6:$F$2819,$G1591))</f>
        <v/>
      </c>
      <c r="F1591" s="8" t="str">
        <f>IF($G1591="","",INDEX('EDS Lookup'!$G$6:$G$2819,$G1591))</f>
        <v/>
      </c>
      <c r="G1591" t="str">
        <f>IF(1568&lt;=$B$4,IFERROR(MATCH(1568,'EDS Lookup'!$H$6:$H$2819,0),""),"")</f>
        <v/>
      </c>
      <c r="H1591" t="str">
        <f t="shared" si="24"/>
        <v/>
      </c>
    </row>
    <row r="1592" spans="1:8" ht="19.95" customHeight="1">
      <c r="A1592" s="5" t="str">
        <f>IF($G1592="","",INDEX('EDS Lookup'!$D$6:$D$2819,$G1592))</f>
        <v/>
      </c>
      <c r="B1592" s="5" t="str">
        <f>IF($G1592="","",INDEX('EDS Lookup'!$B$6:$B$2819,$G1592))</f>
        <v/>
      </c>
      <c r="C1592" s="17"/>
      <c r="D1592" s="6"/>
      <c r="E1592" s="7" t="str">
        <f>IF($G1592="","",INDEX('EDS Lookup'!$F$6:$F$2819,$G1592))</f>
        <v/>
      </c>
      <c r="F1592" s="8" t="str">
        <f>IF($G1592="","",INDEX('EDS Lookup'!$G$6:$G$2819,$G1592))</f>
        <v/>
      </c>
      <c r="G1592" t="str">
        <f>IF(1569&lt;=$B$4,IFERROR(MATCH(1569,'EDS Lookup'!$H$6:$H$2819,0),""),"")</f>
        <v/>
      </c>
      <c r="H1592" t="str">
        <f t="shared" si="24"/>
        <v/>
      </c>
    </row>
    <row r="1593" spans="1:8" ht="19.95" customHeight="1">
      <c r="A1593" s="5" t="str">
        <f>IF($G1593="","",INDEX('EDS Lookup'!$D$6:$D$2819,$G1593))</f>
        <v/>
      </c>
      <c r="B1593" s="5" t="str">
        <f>IF($G1593="","",INDEX('EDS Lookup'!$B$6:$B$2819,$G1593))</f>
        <v/>
      </c>
      <c r="C1593" s="17"/>
      <c r="D1593" s="6"/>
      <c r="E1593" s="7" t="str">
        <f>IF($G1593="","",INDEX('EDS Lookup'!$F$6:$F$2819,$G1593))</f>
        <v/>
      </c>
      <c r="F1593" s="8" t="str">
        <f>IF($G1593="","",INDEX('EDS Lookup'!$G$6:$G$2819,$G1593))</f>
        <v/>
      </c>
      <c r="G1593" t="str">
        <f>IF(1570&lt;=$B$4,IFERROR(MATCH(1570,'EDS Lookup'!$H$6:$H$2819,0),""),"")</f>
        <v/>
      </c>
      <c r="H1593" t="str">
        <f t="shared" si="24"/>
        <v/>
      </c>
    </row>
    <row r="1594" spans="1:8" ht="19.95" customHeight="1">
      <c r="A1594" s="5" t="str">
        <f>IF($G1594="","",INDEX('EDS Lookup'!$D$6:$D$2819,$G1594))</f>
        <v/>
      </c>
      <c r="B1594" s="5" t="str">
        <f>IF($G1594="","",INDEX('EDS Lookup'!$B$6:$B$2819,$G1594))</f>
        <v/>
      </c>
      <c r="C1594" s="17"/>
      <c r="D1594" s="6"/>
      <c r="E1594" s="7" t="str">
        <f>IF($G1594="","",INDEX('EDS Lookup'!$F$6:$F$2819,$G1594))</f>
        <v/>
      </c>
      <c r="F1594" s="8" t="str">
        <f>IF($G1594="","",INDEX('EDS Lookup'!$G$6:$G$2819,$G1594))</f>
        <v/>
      </c>
      <c r="G1594" t="str">
        <f>IF(1571&lt;=$B$4,IFERROR(MATCH(1571,'EDS Lookup'!$H$6:$H$2819,0),""),"")</f>
        <v/>
      </c>
      <c r="H1594" t="str">
        <f t="shared" si="24"/>
        <v/>
      </c>
    </row>
    <row r="1595" spans="1:8" ht="19.95" customHeight="1">
      <c r="A1595" s="5" t="str">
        <f>IF($G1595="","",INDEX('EDS Lookup'!$D$6:$D$2819,$G1595))</f>
        <v/>
      </c>
      <c r="B1595" s="5" t="str">
        <f>IF($G1595="","",INDEX('EDS Lookup'!$B$6:$B$2819,$G1595))</f>
        <v/>
      </c>
      <c r="C1595" s="17"/>
      <c r="D1595" s="6"/>
      <c r="E1595" s="7" t="str">
        <f>IF($G1595="","",INDEX('EDS Lookup'!$F$6:$F$2819,$G1595))</f>
        <v/>
      </c>
      <c r="F1595" s="8" t="str">
        <f>IF($G1595="","",INDEX('EDS Lookup'!$G$6:$G$2819,$G1595))</f>
        <v/>
      </c>
      <c r="G1595" t="str">
        <f>IF(1572&lt;=$B$4,IFERROR(MATCH(1572,'EDS Lookup'!$H$6:$H$2819,0),""),"")</f>
        <v/>
      </c>
      <c r="H1595" t="str">
        <f t="shared" si="24"/>
        <v/>
      </c>
    </row>
    <row r="1596" spans="1:8" ht="19.95" customHeight="1">
      <c r="A1596" s="5" t="str">
        <f>IF($G1596="","",INDEX('EDS Lookup'!$D$6:$D$2819,$G1596))</f>
        <v/>
      </c>
      <c r="B1596" s="5" t="str">
        <f>IF($G1596="","",INDEX('EDS Lookup'!$B$6:$B$2819,$G1596))</f>
        <v/>
      </c>
      <c r="C1596" s="17"/>
      <c r="D1596" s="6"/>
      <c r="E1596" s="7" t="str">
        <f>IF($G1596="","",INDEX('EDS Lookup'!$F$6:$F$2819,$G1596))</f>
        <v/>
      </c>
      <c r="F1596" s="8" t="str">
        <f>IF($G1596="","",INDEX('EDS Lookup'!$G$6:$G$2819,$G1596))</f>
        <v/>
      </c>
      <c r="G1596" t="str">
        <f>IF(1573&lt;=$B$4,IFERROR(MATCH(1573,'EDS Lookup'!$H$6:$H$2819,0),""),"")</f>
        <v/>
      </c>
      <c r="H1596" t="str">
        <f t="shared" si="24"/>
        <v/>
      </c>
    </row>
    <row r="1597" spans="1:8" ht="19.95" customHeight="1">
      <c r="A1597" s="5" t="str">
        <f>IF($G1597="","",INDEX('EDS Lookup'!$D$6:$D$2819,$G1597))</f>
        <v/>
      </c>
      <c r="B1597" s="5" t="str">
        <f>IF($G1597="","",INDEX('EDS Lookup'!$B$6:$B$2819,$G1597))</f>
        <v/>
      </c>
      <c r="C1597" s="17"/>
      <c r="D1597" s="6"/>
      <c r="E1597" s="7" t="str">
        <f>IF($G1597="","",INDEX('EDS Lookup'!$F$6:$F$2819,$G1597))</f>
        <v/>
      </c>
      <c r="F1597" s="8" t="str">
        <f>IF($G1597="","",INDEX('EDS Lookup'!$G$6:$G$2819,$G1597))</f>
        <v/>
      </c>
      <c r="G1597" t="str">
        <f>IF(1574&lt;=$B$4,IFERROR(MATCH(1574,'EDS Lookup'!$H$6:$H$2819,0),""),"")</f>
        <v/>
      </c>
      <c r="H1597" t="str">
        <f t="shared" si="24"/>
        <v/>
      </c>
    </row>
    <row r="1598" spans="1:8" ht="19.95" customHeight="1">
      <c r="A1598" s="5" t="str">
        <f>IF($G1598="","",INDEX('EDS Lookup'!$D$6:$D$2819,$G1598))</f>
        <v/>
      </c>
      <c r="B1598" s="5" t="str">
        <f>IF($G1598="","",INDEX('EDS Lookup'!$B$6:$B$2819,$G1598))</f>
        <v/>
      </c>
      <c r="C1598" s="17"/>
      <c r="D1598" s="6"/>
      <c r="E1598" s="7" t="str">
        <f>IF($G1598="","",INDEX('EDS Lookup'!$F$6:$F$2819,$G1598))</f>
        <v/>
      </c>
      <c r="F1598" s="8" t="str">
        <f>IF($G1598="","",INDEX('EDS Lookup'!$G$6:$G$2819,$G1598))</f>
        <v/>
      </c>
      <c r="G1598" t="str">
        <f>IF(1575&lt;=$B$4,IFERROR(MATCH(1575,'EDS Lookup'!$H$6:$H$2819,0),""),"")</f>
        <v/>
      </c>
      <c r="H1598" t="str">
        <f t="shared" si="24"/>
        <v/>
      </c>
    </row>
    <row r="1599" spans="1:8" ht="19.95" customHeight="1">
      <c r="A1599" s="5" t="str">
        <f>IF($G1599="","",INDEX('EDS Lookup'!$D$6:$D$2819,$G1599))</f>
        <v/>
      </c>
      <c r="B1599" s="5" t="str">
        <f>IF($G1599="","",INDEX('EDS Lookup'!$B$6:$B$2819,$G1599))</f>
        <v/>
      </c>
      <c r="C1599" s="17"/>
      <c r="D1599" s="6"/>
      <c r="E1599" s="7" t="str">
        <f>IF($G1599="","",INDEX('EDS Lookup'!$F$6:$F$2819,$G1599))</f>
        <v/>
      </c>
      <c r="F1599" s="8" t="str">
        <f>IF($G1599="","",INDEX('EDS Lookup'!$G$6:$G$2819,$G1599))</f>
        <v/>
      </c>
      <c r="G1599" t="str">
        <f>IF(1576&lt;=$B$4,IFERROR(MATCH(1576,'EDS Lookup'!$H$6:$H$2819,0),""),"")</f>
        <v/>
      </c>
      <c r="H1599" t="str">
        <f t="shared" si="24"/>
        <v/>
      </c>
    </row>
    <row r="1600" spans="1:8" ht="19.95" customHeight="1">
      <c r="A1600" s="5" t="str">
        <f>IF($G1600="","",INDEX('EDS Lookup'!$D$6:$D$2819,$G1600))</f>
        <v/>
      </c>
      <c r="B1600" s="5" t="str">
        <f>IF($G1600="","",INDEX('EDS Lookup'!$B$6:$B$2819,$G1600))</f>
        <v/>
      </c>
      <c r="C1600" s="17"/>
      <c r="D1600" s="6"/>
      <c r="E1600" s="7" t="str">
        <f>IF($G1600="","",INDEX('EDS Lookup'!$F$6:$F$2819,$G1600))</f>
        <v/>
      </c>
      <c r="F1600" s="8" t="str">
        <f>IF($G1600="","",INDEX('EDS Lookup'!$G$6:$G$2819,$G1600))</f>
        <v/>
      </c>
      <c r="G1600" t="str">
        <f>IF(1577&lt;=$B$4,IFERROR(MATCH(1577,'EDS Lookup'!$H$6:$H$2819,0),""),"")</f>
        <v/>
      </c>
      <c r="H1600" t="str">
        <f t="shared" si="24"/>
        <v/>
      </c>
    </row>
    <row r="1601" spans="1:8" ht="19.95" customHeight="1">
      <c r="A1601" s="5" t="str">
        <f>IF($G1601="","",INDEX('EDS Lookup'!$D$6:$D$2819,$G1601))</f>
        <v/>
      </c>
      <c r="B1601" s="5" t="str">
        <f>IF($G1601="","",INDEX('EDS Lookup'!$B$6:$B$2819,$G1601))</f>
        <v/>
      </c>
      <c r="C1601" s="17"/>
      <c r="D1601" s="6"/>
      <c r="E1601" s="7" t="str">
        <f>IF($G1601="","",INDEX('EDS Lookup'!$F$6:$F$2819,$G1601))</f>
        <v/>
      </c>
      <c r="F1601" s="8" t="str">
        <f>IF($G1601="","",INDEX('EDS Lookup'!$G$6:$G$2819,$G1601))</f>
        <v/>
      </c>
      <c r="G1601" t="str">
        <f>IF(1578&lt;=$B$4,IFERROR(MATCH(1578,'EDS Lookup'!$H$6:$H$2819,0),""),"")</f>
        <v/>
      </c>
      <c r="H1601" t="str">
        <f t="shared" si="24"/>
        <v/>
      </c>
    </row>
    <row r="1602" spans="1:8" ht="19.95" customHeight="1">
      <c r="A1602" s="5" t="str">
        <f>IF($G1602="","",INDEX('EDS Lookup'!$D$6:$D$2819,$G1602))</f>
        <v/>
      </c>
      <c r="B1602" s="5" t="str">
        <f>IF($G1602="","",INDEX('EDS Lookup'!$B$6:$B$2819,$G1602))</f>
        <v/>
      </c>
      <c r="C1602" s="17"/>
      <c r="D1602" s="6"/>
      <c r="E1602" s="7" t="str">
        <f>IF($G1602="","",INDEX('EDS Lookup'!$F$6:$F$2819,$G1602))</f>
        <v/>
      </c>
      <c r="F1602" s="8" t="str">
        <f>IF($G1602="","",INDEX('EDS Lookup'!$G$6:$G$2819,$G1602))</f>
        <v/>
      </c>
      <c r="G1602" t="str">
        <f>IF(1579&lt;=$B$4,IFERROR(MATCH(1579,'EDS Lookup'!$H$6:$H$2819,0),""),"")</f>
        <v/>
      </c>
      <c r="H1602" t="str">
        <f t="shared" si="24"/>
        <v/>
      </c>
    </row>
    <row r="1603" spans="1:8" ht="19.95" customHeight="1">
      <c r="A1603" s="5" t="str">
        <f>IF($G1603="","",INDEX('EDS Lookup'!$D$6:$D$2819,$G1603))</f>
        <v/>
      </c>
      <c r="B1603" s="5" t="str">
        <f>IF($G1603="","",INDEX('EDS Lookup'!$B$6:$B$2819,$G1603))</f>
        <v/>
      </c>
      <c r="C1603" s="17"/>
      <c r="D1603" s="6"/>
      <c r="E1603" s="7" t="str">
        <f>IF($G1603="","",INDEX('EDS Lookup'!$F$6:$F$2819,$G1603))</f>
        <v/>
      </c>
      <c r="F1603" s="8" t="str">
        <f>IF($G1603="","",INDEX('EDS Lookup'!$G$6:$G$2819,$G1603))</f>
        <v/>
      </c>
      <c r="G1603" t="str">
        <f>IF(1580&lt;=$B$4,IFERROR(MATCH(1580,'EDS Lookup'!$H$6:$H$2819,0),""),"")</f>
        <v/>
      </c>
      <c r="H1603" t="str">
        <f t="shared" si="24"/>
        <v/>
      </c>
    </row>
    <row r="1604" spans="1:8" ht="19.95" customHeight="1">
      <c r="A1604" s="5" t="str">
        <f>IF($G1604="","",INDEX('EDS Lookup'!$D$6:$D$2819,$G1604))</f>
        <v/>
      </c>
      <c r="B1604" s="5" t="str">
        <f>IF($G1604="","",INDEX('EDS Lookup'!$B$6:$B$2819,$G1604))</f>
        <v/>
      </c>
      <c r="C1604" s="17"/>
      <c r="D1604" s="6"/>
      <c r="E1604" s="7" t="str">
        <f>IF($G1604="","",INDEX('EDS Lookup'!$F$6:$F$2819,$G1604))</f>
        <v/>
      </c>
      <c r="F1604" s="8" t="str">
        <f>IF($G1604="","",INDEX('EDS Lookup'!$G$6:$G$2819,$G1604))</f>
        <v/>
      </c>
      <c r="G1604" t="str">
        <f>IF(1581&lt;=$B$4,IFERROR(MATCH(1581,'EDS Lookup'!$H$6:$H$2819,0),""),"")</f>
        <v/>
      </c>
      <c r="H1604" t="str">
        <f t="shared" si="24"/>
        <v/>
      </c>
    </row>
    <row r="1605" spans="1:8" ht="19.95" customHeight="1">
      <c r="A1605" s="5" t="str">
        <f>IF($G1605="","",INDEX('EDS Lookup'!$D$6:$D$2819,$G1605))</f>
        <v/>
      </c>
      <c r="B1605" s="5" t="str">
        <f>IF($G1605="","",INDEX('EDS Lookup'!$B$6:$B$2819,$G1605))</f>
        <v/>
      </c>
      <c r="C1605" s="17"/>
      <c r="D1605" s="6"/>
      <c r="E1605" s="7" t="str">
        <f>IF($G1605="","",INDEX('EDS Lookup'!$F$6:$F$2819,$G1605))</f>
        <v/>
      </c>
      <c r="F1605" s="8" t="str">
        <f>IF($G1605="","",INDEX('EDS Lookup'!$G$6:$G$2819,$G1605))</f>
        <v/>
      </c>
      <c r="G1605" t="str">
        <f>IF(1582&lt;=$B$4,IFERROR(MATCH(1582,'EDS Lookup'!$H$6:$H$2819,0),""),"")</f>
        <v/>
      </c>
      <c r="H1605" t="str">
        <f t="shared" si="24"/>
        <v/>
      </c>
    </row>
    <row r="1606" spans="1:8" ht="19.95" customHeight="1">
      <c r="A1606" s="5" t="str">
        <f>IF($G1606="","",INDEX('EDS Lookup'!$D$6:$D$2819,$G1606))</f>
        <v/>
      </c>
      <c r="B1606" s="5" t="str">
        <f>IF($G1606="","",INDEX('EDS Lookup'!$B$6:$B$2819,$G1606))</f>
        <v/>
      </c>
      <c r="C1606" s="17"/>
      <c r="D1606" s="6"/>
      <c r="E1606" s="7" t="str">
        <f>IF($G1606="","",INDEX('EDS Lookup'!$F$6:$F$2819,$G1606))</f>
        <v/>
      </c>
      <c r="F1606" s="8" t="str">
        <f>IF($G1606="","",INDEX('EDS Lookup'!$G$6:$G$2819,$G1606))</f>
        <v/>
      </c>
      <c r="G1606" t="str">
        <f>IF(1583&lt;=$B$4,IFERROR(MATCH(1583,'EDS Lookup'!$H$6:$H$2819,0),""),"")</f>
        <v/>
      </c>
      <c r="H1606" t="str">
        <f t="shared" si="24"/>
        <v/>
      </c>
    </row>
    <row r="1607" spans="1:8" ht="19.95" customHeight="1">
      <c r="A1607" s="5" t="str">
        <f>IF($G1607="","",INDEX('EDS Lookup'!$D$6:$D$2819,$G1607))</f>
        <v/>
      </c>
      <c r="B1607" s="5" t="str">
        <f>IF($G1607="","",INDEX('EDS Lookup'!$B$6:$B$2819,$G1607))</f>
        <v/>
      </c>
      <c r="C1607" s="17"/>
      <c r="D1607" s="6"/>
      <c r="E1607" s="7" t="str">
        <f>IF($G1607="","",INDEX('EDS Lookup'!$F$6:$F$2819,$G1607))</f>
        <v/>
      </c>
      <c r="F1607" s="8" t="str">
        <f>IF($G1607="","",INDEX('EDS Lookup'!$G$6:$G$2819,$G1607))</f>
        <v/>
      </c>
      <c r="G1607" t="str">
        <f>IF(1584&lt;=$B$4,IFERROR(MATCH(1584,'EDS Lookup'!$H$6:$H$2819,0),""),"")</f>
        <v/>
      </c>
      <c r="H1607" t="str">
        <f t="shared" si="24"/>
        <v/>
      </c>
    </row>
    <row r="1608" spans="1:8" ht="19.95" customHeight="1">
      <c r="A1608" s="5" t="str">
        <f>IF($G1608="","",INDEX('EDS Lookup'!$D$6:$D$2819,$G1608))</f>
        <v/>
      </c>
      <c r="B1608" s="5" t="str">
        <f>IF($G1608="","",INDEX('EDS Lookup'!$B$6:$B$2819,$G1608))</f>
        <v/>
      </c>
      <c r="C1608" s="17"/>
      <c r="D1608" s="6"/>
      <c r="E1608" s="7" t="str">
        <f>IF($G1608="","",INDEX('EDS Lookup'!$F$6:$F$2819,$G1608))</f>
        <v/>
      </c>
      <c r="F1608" s="8" t="str">
        <f>IF($G1608="","",INDEX('EDS Lookup'!$G$6:$G$2819,$G1608))</f>
        <v/>
      </c>
      <c r="G1608" t="str">
        <f>IF(1585&lt;=$B$4,IFERROR(MATCH(1585,'EDS Lookup'!$H$6:$H$2819,0),""),"")</f>
        <v/>
      </c>
      <c r="H1608" t="str">
        <f t="shared" si="24"/>
        <v/>
      </c>
    </row>
    <row r="1609" spans="1:8" ht="19.95" customHeight="1">
      <c r="A1609" s="5" t="str">
        <f>IF($G1609="","",INDEX('EDS Lookup'!$D$6:$D$2819,$G1609))</f>
        <v/>
      </c>
      <c r="B1609" s="5" t="str">
        <f>IF($G1609="","",INDEX('EDS Lookup'!$B$6:$B$2819,$G1609))</f>
        <v/>
      </c>
      <c r="C1609" s="17"/>
      <c r="D1609" s="6"/>
      <c r="E1609" s="7" t="str">
        <f>IF($G1609="","",INDEX('EDS Lookup'!$F$6:$F$2819,$G1609))</f>
        <v/>
      </c>
      <c r="F1609" s="8" t="str">
        <f>IF($G1609="","",INDEX('EDS Lookup'!$G$6:$G$2819,$G1609))</f>
        <v/>
      </c>
      <c r="G1609" t="str">
        <f>IF(1586&lt;=$B$4,IFERROR(MATCH(1586,'EDS Lookup'!$H$6:$H$2819,0),""),"")</f>
        <v/>
      </c>
      <c r="H1609" t="str">
        <f t="shared" si="24"/>
        <v/>
      </c>
    </row>
    <row r="1610" spans="1:8" ht="19.95" customHeight="1">
      <c r="A1610" s="5" t="str">
        <f>IF($G1610="","",INDEX('EDS Lookup'!$D$6:$D$2819,$G1610))</f>
        <v/>
      </c>
      <c r="B1610" s="5" t="str">
        <f>IF($G1610="","",INDEX('EDS Lookup'!$B$6:$B$2819,$G1610))</f>
        <v/>
      </c>
      <c r="C1610" s="17"/>
      <c r="D1610" s="6"/>
      <c r="E1610" s="7" t="str">
        <f>IF($G1610="","",INDEX('EDS Lookup'!$F$6:$F$2819,$G1610))</f>
        <v/>
      </c>
      <c r="F1610" s="8" t="str">
        <f>IF($G1610="","",INDEX('EDS Lookup'!$G$6:$G$2819,$G1610))</f>
        <v/>
      </c>
      <c r="G1610" t="str">
        <f>IF(1587&lt;=$B$4,IFERROR(MATCH(1587,'EDS Lookup'!$H$6:$H$2819,0),""),"")</f>
        <v/>
      </c>
      <c r="H1610" t="str">
        <f t="shared" si="24"/>
        <v/>
      </c>
    </row>
    <row r="1611" spans="1:8" ht="19.95" customHeight="1">
      <c r="A1611" s="5" t="str">
        <f>IF($G1611="","",INDEX('EDS Lookup'!$D$6:$D$2819,$G1611))</f>
        <v/>
      </c>
      <c r="B1611" s="5" t="str">
        <f>IF($G1611="","",INDEX('EDS Lookup'!$B$6:$B$2819,$G1611))</f>
        <v/>
      </c>
      <c r="C1611" s="17"/>
      <c r="D1611" s="6"/>
      <c r="E1611" s="7" t="str">
        <f>IF($G1611="","",INDEX('EDS Lookup'!$F$6:$F$2819,$G1611))</f>
        <v/>
      </c>
      <c r="F1611" s="8" t="str">
        <f>IF($G1611="","",INDEX('EDS Lookup'!$G$6:$G$2819,$G1611))</f>
        <v/>
      </c>
      <c r="G1611" t="str">
        <f>IF(1588&lt;=$B$4,IFERROR(MATCH(1588,'EDS Lookup'!$H$6:$H$2819,0),""),"")</f>
        <v/>
      </c>
      <c r="H1611" t="str">
        <f t="shared" si="24"/>
        <v/>
      </c>
    </row>
    <row r="1612" spans="1:8" ht="19.95" customHeight="1">
      <c r="A1612" s="5" t="str">
        <f>IF($G1612="","",INDEX('EDS Lookup'!$D$6:$D$2819,$G1612))</f>
        <v/>
      </c>
      <c r="B1612" s="5" t="str">
        <f>IF($G1612="","",INDEX('EDS Lookup'!$B$6:$B$2819,$G1612))</f>
        <v/>
      </c>
      <c r="C1612" s="17"/>
      <c r="D1612" s="6"/>
      <c r="E1612" s="7" t="str">
        <f>IF($G1612="","",INDEX('EDS Lookup'!$F$6:$F$2819,$G1612))</f>
        <v/>
      </c>
      <c r="F1612" s="8" t="str">
        <f>IF($G1612="","",INDEX('EDS Lookup'!$G$6:$G$2819,$G1612))</f>
        <v/>
      </c>
      <c r="G1612" t="str">
        <f>IF(1589&lt;=$B$4,IFERROR(MATCH(1589,'EDS Lookup'!$H$6:$H$2819,0),""),"")</f>
        <v/>
      </c>
      <c r="H1612" t="str">
        <f t="shared" si="24"/>
        <v/>
      </c>
    </row>
    <row r="1613" spans="1:8" ht="19.95" customHeight="1">
      <c r="A1613" s="5" t="str">
        <f>IF($G1613="","",INDEX('EDS Lookup'!$D$6:$D$2819,$G1613))</f>
        <v/>
      </c>
      <c r="B1613" s="5" t="str">
        <f>IF($G1613="","",INDEX('EDS Lookup'!$B$6:$B$2819,$G1613))</f>
        <v/>
      </c>
      <c r="C1613" s="17"/>
      <c r="D1613" s="6"/>
      <c r="E1613" s="7" t="str">
        <f>IF($G1613="","",INDEX('EDS Lookup'!$F$6:$F$2819,$G1613))</f>
        <v/>
      </c>
      <c r="F1613" s="8" t="str">
        <f>IF($G1613="","",INDEX('EDS Lookup'!$G$6:$G$2819,$G1613))</f>
        <v/>
      </c>
      <c r="G1613" t="str">
        <f>IF(1590&lt;=$B$4,IFERROR(MATCH(1590,'EDS Lookup'!$H$6:$H$2819,0),""),"")</f>
        <v/>
      </c>
      <c r="H1613" t="str">
        <f t="shared" si="24"/>
        <v/>
      </c>
    </row>
    <row r="1614" spans="1:8" ht="19.95" customHeight="1">
      <c r="A1614" s="5" t="str">
        <f>IF($G1614="","",INDEX('EDS Lookup'!$D$6:$D$2819,$G1614))</f>
        <v/>
      </c>
      <c r="B1614" s="5" t="str">
        <f>IF($G1614="","",INDEX('EDS Lookup'!$B$6:$B$2819,$G1614))</f>
        <v/>
      </c>
      <c r="C1614" s="17"/>
      <c r="D1614" s="6"/>
      <c r="E1614" s="7" t="str">
        <f>IF($G1614="","",INDEX('EDS Lookup'!$F$6:$F$2819,$G1614))</f>
        <v/>
      </c>
      <c r="F1614" s="8" t="str">
        <f>IF($G1614="","",INDEX('EDS Lookup'!$G$6:$G$2819,$G1614))</f>
        <v/>
      </c>
      <c r="G1614" t="str">
        <f>IF(1591&lt;=$B$4,IFERROR(MATCH(1591,'EDS Lookup'!$H$6:$H$2819,0),""),"")</f>
        <v/>
      </c>
      <c r="H1614" t="str">
        <f t="shared" si="24"/>
        <v/>
      </c>
    </row>
    <row r="1615" spans="1:8" ht="19.95" customHeight="1">
      <c r="A1615" s="5" t="str">
        <f>IF($G1615="","",INDEX('EDS Lookup'!$D$6:$D$2819,$G1615))</f>
        <v/>
      </c>
      <c r="B1615" s="5" t="str">
        <f>IF($G1615="","",INDEX('EDS Lookup'!$B$6:$B$2819,$G1615))</f>
        <v/>
      </c>
      <c r="C1615" s="17"/>
      <c r="D1615" s="6"/>
      <c r="E1615" s="7" t="str">
        <f>IF($G1615="","",INDEX('EDS Lookup'!$F$6:$F$2819,$G1615))</f>
        <v/>
      </c>
      <c r="F1615" s="8" t="str">
        <f>IF($G1615="","",INDEX('EDS Lookup'!$G$6:$G$2819,$G1615))</f>
        <v/>
      </c>
      <c r="G1615" t="str">
        <f>IF(1592&lt;=$B$4,IFERROR(MATCH(1592,'EDS Lookup'!$H$6:$H$2819,0),""),"")</f>
        <v/>
      </c>
      <c r="H1615" t="str">
        <f t="shared" si="24"/>
        <v/>
      </c>
    </row>
    <row r="1616" spans="1:8" ht="19.95" customHeight="1">
      <c r="A1616" s="5" t="str">
        <f>IF($G1616="","",INDEX('EDS Lookup'!$D$6:$D$2819,$G1616))</f>
        <v/>
      </c>
      <c r="B1616" s="5" t="str">
        <f>IF($G1616="","",INDEX('EDS Lookup'!$B$6:$B$2819,$G1616))</f>
        <v/>
      </c>
      <c r="C1616" s="17"/>
      <c r="D1616" s="6"/>
      <c r="E1616" s="7" t="str">
        <f>IF($G1616="","",INDEX('EDS Lookup'!$F$6:$F$2819,$G1616))</f>
        <v/>
      </c>
      <c r="F1616" s="8" t="str">
        <f>IF($G1616="","",INDEX('EDS Lookup'!$G$6:$G$2819,$G1616))</f>
        <v/>
      </c>
      <c r="G1616" t="str">
        <f>IF(1593&lt;=$B$4,IFERROR(MATCH(1593,'EDS Lookup'!$H$6:$H$2819,0),""),"")</f>
        <v/>
      </c>
      <c r="H1616" t="str">
        <f t="shared" si="24"/>
        <v/>
      </c>
    </row>
    <row r="1617" spans="1:8" ht="19.95" customHeight="1">
      <c r="A1617" s="5" t="str">
        <f>IF($G1617="","",INDEX('EDS Lookup'!$D$6:$D$2819,$G1617))</f>
        <v/>
      </c>
      <c r="B1617" s="5" t="str">
        <f>IF($G1617="","",INDEX('EDS Lookup'!$B$6:$B$2819,$G1617))</f>
        <v/>
      </c>
      <c r="C1617" s="17"/>
      <c r="D1617" s="6"/>
      <c r="E1617" s="7" t="str">
        <f>IF($G1617="","",INDEX('EDS Lookup'!$F$6:$F$2819,$G1617))</f>
        <v/>
      </c>
      <c r="F1617" s="8" t="str">
        <f>IF($G1617="","",INDEX('EDS Lookup'!$G$6:$G$2819,$G1617))</f>
        <v/>
      </c>
      <c r="G1617" t="str">
        <f>IF(1594&lt;=$B$4,IFERROR(MATCH(1594,'EDS Lookup'!$H$6:$H$2819,0),""),"")</f>
        <v/>
      </c>
      <c r="H1617" t="str">
        <f t="shared" si="24"/>
        <v/>
      </c>
    </row>
    <row r="1618" spans="1:8" ht="19.95" customHeight="1">
      <c r="A1618" s="5" t="str">
        <f>IF($G1618="","",INDEX('EDS Lookup'!$D$6:$D$2819,$G1618))</f>
        <v/>
      </c>
      <c r="B1618" s="5" t="str">
        <f>IF($G1618="","",INDEX('EDS Lookup'!$B$6:$B$2819,$G1618))</f>
        <v/>
      </c>
      <c r="C1618" s="17"/>
      <c r="D1618" s="6"/>
      <c r="E1618" s="7" t="str">
        <f>IF($G1618="","",INDEX('EDS Lookup'!$F$6:$F$2819,$G1618))</f>
        <v/>
      </c>
      <c r="F1618" s="8" t="str">
        <f>IF($G1618="","",INDEX('EDS Lookup'!$G$6:$G$2819,$G1618))</f>
        <v/>
      </c>
      <c r="G1618" t="str">
        <f>IF(1595&lt;=$B$4,IFERROR(MATCH(1595,'EDS Lookup'!$H$6:$H$2819,0),""),"")</f>
        <v/>
      </c>
      <c r="H1618" t="str">
        <f t="shared" si="24"/>
        <v/>
      </c>
    </row>
    <row r="1619" spans="1:8" ht="19.95" customHeight="1">
      <c r="A1619" s="5" t="str">
        <f>IF($G1619="","",INDEX('EDS Lookup'!$D$6:$D$2819,$G1619))</f>
        <v/>
      </c>
      <c r="B1619" s="5" t="str">
        <f>IF($G1619="","",INDEX('EDS Lookup'!$B$6:$B$2819,$G1619))</f>
        <v/>
      </c>
      <c r="C1619" s="17"/>
      <c r="D1619" s="6"/>
      <c r="E1619" s="7" t="str">
        <f>IF($G1619="","",INDEX('EDS Lookup'!$F$6:$F$2819,$G1619))</f>
        <v/>
      </c>
      <c r="F1619" s="8" t="str">
        <f>IF($G1619="","",INDEX('EDS Lookup'!$G$6:$G$2819,$G1619))</f>
        <v/>
      </c>
      <c r="G1619" t="str">
        <f>IF(1596&lt;=$B$4,IFERROR(MATCH(1596,'EDS Lookup'!$H$6:$H$2819,0),""),"")</f>
        <v/>
      </c>
      <c r="H1619" t="str">
        <f t="shared" si="24"/>
        <v/>
      </c>
    </row>
    <row r="1620" spans="1:8" ht="19.95" customHeight="1">
      <c r="A1620" s="5" t="str">
        <f>IF($G1620="","",INDEX('EDS Lookup'!$D$6:$D$2819,$G1620))</f>
        <v/>
      </c>
      <c r="B1620" s="5" t="str">
        <f>IF($G1620="","",INDEX('EDS Lookup'!$B$6:$B$2819,$G1620))</f>
        <v/>
      </c>
      <c r="C1620" s="17"/>
      <c r="D1620" s="6"/>
      <c r="E1620" s="7" t="str">
        <f>IF($G1620="","",INDEX('EDS Lookup'!$F$6:$F$2819,$G1620))</f>
        <v/>
      </c>
      <c r="F1620" s="8" t="str">
        <f>IF($G1620="","",INDEX('EDS Lookup'!$G$6:$G$2819,$G1620))</f>
        <v/>
      </c>
      <c r="G1620" t="str">
        <f>IF(1597&lt;=$B$4,IFERROR(MATCH(1597,'EDS Lookup'!$H$6:$H$2819,0),""),"")</f>
        <v/>
      </c>
      <c r="H1620" t="str">
        <f t="shared" si="24"/>
        <v/>
      </c>
    </row>
    <row r="1621" spans="1:8" ht="19.95" customHeight="1">
      <c r="A1621" s="5" t="str">
        <f>IF($G1621="","",INDEX('EDS Lookup'!$D$6:$D$2819,$G1621))</f>
        <v/>
      </c>
      <c r="B1621" s="5" t="str">
        <f>IF($G1621="","",INDEX('EDS Lookup'!$B$6:$B$2819,$G1621))</f>
        <v/>
      </c>
      <c r="C1621" s="17"/>
      <c r="D1621" s="6"/>
      <c r="E1621" s="7" t="str">
        <f>IF($G1621="","",INDEX('EDS Lookup'!$F$6:$F$2819,$G1621))</f>
        <v/>
      </c>
      <c r="F1621" s="8" t="str">
        <f>IF($G1621="","",INDEX('EDS Lookup'!$G$6:$G$2819,$G1621))</f>
        <v/>
      </c>
      <c r="G1621" t="str">
        <f>IF(1598&lt;=$B$4,IFERROR(MATCH(1598,'EDS Lookup'!$H$6:$H$2819,0),""),"")</f>
        <v/>
      </c>
      <c r="H1621" t="str">
        <f t="shared" si="24"/>
        <v/>
      </c>
    </row>
    <row r="1622" spans="1:8" ht="19.95" customHeight="1">
      <c r="A1622" s="5" t="str">
        <f>IF($G1622="","",INDEX('EDS Lookup'!$D$6:$D$2819,$G1622))</f>
        <v/>
      </c>
      <c r="B1622" s="5" t="str">
        <f>IF($G1622="","",INDEX('EDS Lookup'!$B$6:$B$2819,$G1622))</f>
        <v/>
      </c>
      <c r="C1622" s="17"/>
      <c r="D1622" s="6"/>
      <c r="E1622" s="7" t="str">
        <f>IF($G1622="","",INDEX('EDS Lookup'!$F$6:$F$2819,$G1622))</f>
        <v/>
      </c>
      <c r="F1622" s="8" t="str">
        <f>IF($G1622="","",INDEX('EDS Lookup'!$G$6:$G$2819,$G1622))</f>
        <v/>
      </c>
      <c r="G1622" t="str">
        <f>IF(1599&lt;=$B$4,IFERROR(MATCH(1599,'EDS Lookup'!$H$6:$H$2819,0),""),"")</f>
        <v/>
      </c>
      <c r="H1622" t="str">
        <f t="shared" si="24"/>
        <v/>
      </c>
    </row>
    <row r="1623" spans="1:8" ht="19.95" customHeight="1">
      <c r="A1623" s="5" t="str">
        <f>IF($G1623="","",INDEX('EDS Lookup'!$D$6:$D$2819,$G1623))</f>
        <v/>
      </c>
      <c r="B1623" s="5" t="str">
        <f>IF($G1623="","",INDEX('EDS Lookup'!$B$6:$B$2819,$G1623))</f>
        <v/>
      </c>
      <c r="C1623" s="17"/>
      <c r="D1623" s="6"/>
      <c r="E1623" s="7" t="str">
        <f>IF($G1623="","",INDEX('EDS Lookup'!$F$6:$F$2819,$G1623))</f>
        <v/>
      </c>
      <c r="F1623" s="8" t="str">
        <f>IF($G1623="","",INDEX('EDS Lookup'!$G$6:$G$2819,$G1623))</f>
        <v/>
      </c>
      <c r="G1623" t="str">
        <f>IF(1600&lt;=$B$4,IFERROR(MATCH(1600,'EDS Lookup'!$H$6:$H$2819,0),""),"")</f>
        <v/>
      </c>
      <c r="H1623" t="str">
        <f t="shared" si="24"/>
        <v/>
      </c>
    </row>
    <row r="1624" spans="1:8" ht="19.95" customHeight="1">
      <c r="A1624" s="5" t="str">
        <f>IF($G1624="","",INDEX('EDS Lookup'!$D$6:$D$2819,$G1624))</f>
        <v/>
      </c>
      <c r="B1624" s="5" t="str">
        <f>IF($G1624="","",INDEX('EDS Lookup'!$B$6:$B$2819,$G1624))</f>
        <v/>
      </c>
      <c r="C1624" s="17"/>
      <c r="D1624" s="6"/>
      <c r="E1624" s="7" t="str">
        <f>IF($G1624="","",INDEX('EDS Lookup'!$F$6:$F$2819,$G1624))</f>
        <v/>
      </c>
      <c r="F1624" s="8" t="str">
        <f>IF($G1624="","",INDEX('EDS Lookup'!$G$6:$G$2819,$G1624))</f>
        <v/>
      </c>
      <c r="G1624" t="str">
        <f>IF(1601&lt;=$B$4,IFERROR(MATCH(1601,'EDS Lookup'!$H$6:$H$2819,0),""),"")</f>
        <v/>
      </c>
      <c r="H1624" t="str">
        <f t="shared" ref="H1624:H1687" si="25">IF(F1624="&lt;5",5,IF(F1624="&gt;95",95,IF(ISNUMBER(F1624),F1624,"")))</f>
        <v/>
      </c>
    </row>
    <row r="1625" spans="1:8" ht="19.95" customHeight="1">
      <c r="A1625" s="5" t="str">
        <f>IF($G1625="","",INDEX('EDS Lookup'!$D$6:$D$2819,$G1625))</f>
        <v/>
      </c>
      <c r="B1625" s="5" t="str">
        <f>IF($G1625="","",INDEX('EDS Lookup'!$B$6:$B$2819,$G1625))</f>
        <v/>
      </c>
      <c r="C1625" s="17"/>
      <c r="D1625" s="6"/>
      <c r="E1625" s="7" t="str">
        <f>IF($G1625="","",INDEX('EDS Lookup'!$F$6:$F$2819,$G1625))</f>
        <v/>
      </c>
      <c r="F1625" s="8" t="str">
        <f>IF($G1625="","",INDEX('EDS Lookup'!$G$6:$G$2819,$G1625))</f>
        <v/>
      </c>
      <c r="G1625" t="str">
        <f>IF(1602&lt;=$B$4,IFERROR(MATCH(1602,'EDS Lookup'!$H$6:$H$2819,0),""),"")</f>
        <v/>
      </c>
      <c r="H1625" t="str">
        <f t="shared" si="25"/>
        <v/>
      </c>
    </row>
    <row r="1626" spans="1:8" ht="19.95" customHeight="1">
      <c r="A1626" s="5" t="str">
        <f>IF($G1626="","",INDEX('EDS Lookup'!$D$6:$D$2819,$G1626))</f>
        <v/>
      </c>
      <c r="B1626" s="5" t="str">
        <f>IF($G1626="","",INDEX('EDS Lookup'!$B$6:$B$2819,$G1626))</f>
        <v/>
      </c>
      <c r="C1626" s="17"/>
      <c r="D1626" s="6"/>
      <c r="E1626" s="7" t="str">
        <f>IF($G1626="","",INDEX('EDS Lookup'!$F$6:$F$2819,$G1626))</f>
        <v/>
      </c>
      <c r="F1626" s="8" t="str">
        <f>IF($G1626="","",INDEX('EDS Lookup'!$G$6:$G$2819,$G1626))</f>
        <v/>
      </c>
      <c r="G1626" t="str">
        <f>IF(1603&lt;=$B$4,IFERROR(MATCH(1603,'EDS Lookup'!$H$6:$H$2819,0),""),"")</f>
        <v/>
      </c>
      <c r="H1626" t="str">
        <f t="shared" si="25"/>
        <v/>
      </c>
    </row>
    <row r="1627" spans="1:8" ht="19.95" customHeight="1">
      <c r="A1627" s="5" t="str">
        <f>IF($G1627="","",INDEX('EDS Lookup'!$D$6:$D$2819,$G1627))</f>
        <v/>
      </c>
      <c r="B1627" s="5" t="str">
        <f>IF($G1627="","",INDEX('EDS Lookup'!$B$6:$B$2819,$G1627))</f>
        <v/>
      </c>
      <c r="C1627" s="17"/>
      <c r="D1627" s="6"/>
      <c r="E1627" s="7" t="str">
        <f>IF($G1627="","",INDEX('EDS Lookup'!$F$6:$F$2819,$G1627))</f>
        <v/>
      </c>
      <c r="F1627" s="8" t="str">
        <f>IF($G1627="","",INDEX('EDS Lookup'!$G$6:$G$2819,$G1627))</f>
        <v/>
      </c>
      <c r="G1627" t="str">
        <f>IF(1604&lt;=$B$4,IFERROR(MATCH(1604,'EDS Lookup'!$H$6:$H$2819,0),""),"")</f>
        <v/>
      </c>
      <c r="H1627" t="str">
        <f t="shared" si="25"/>
        <v/>
      </c>
    </row>
    <row r="1628" spans="1:8" ht="19.95" customHeight="1">
      <c r="A1628" s="5" t="str">
        <f>IF($G1628="","",INDEX('EDS Lookup'!$D$6:$D$2819,$G1628))</f>
        <v/>
      </c>
      <c r="B1628" s="5" t="str">
        <f>IF($G1628="","",INDEX('EDS Lookup'!$B$6:$B$2819,$G1628))</f>
        <v/>
      </c>
      <c r="C1628" s="17"/>
      <c r="D1628" s="6"/>
      <c r="E1628" s="7" t="str">
        <f>IF($G1628="","",INDEX('EDS Lookup'!$F$6:$F$2819,$G1628))</f>
        <v/>
      </c>
      <c r="F1628" s="8" t="str">
        <f>IF($G1628="","",INDEX('EDS Lookup'!$G$6:$G$2819,$G1628))</f>
        <v/>
      </c>
      <c r="G1628" t="str">
        <f>IF(1605&lt;=$B$4,IFERROR(MATCH(1605,'EDS Lookup'!$H$6:$H$2819,0),""),"")</f>
        <v/>
      </c>
      <c r="H1628" t="str">
        <f t="shared" si="25"/>
        <v/>
      </c>
    </row>
    <row r="1629" spans="1:8" ht="19.95" customHeight="1">
      <c r="A1629" s="5" t="str">
        <f>IF($G1629="","",INDEX('EDS Lookup'!$D$6:$D$2819,$G1629))</f>
        <v/>
      </c>
      <c r="B1629" s="5" t="str">
        <f>IF($G1629="","",INDEX('EDS Lookup'!$B$6:$B$2819,$G1629))</f>
        <v/>
      </c>
      <c r="C1629" s="17"/>
      <c r="D1629" s="6"/>
      <c r="E1629" s="7" t="str">
        <f>IF($G1629="","",INDEX('EDS Lookup'!$F$6:$F$2819,$G1629))</f>
        <v/>
      </c>
      <c r="F1629" s="8" t="str">
        <f>IF($G1629="","",INDEX('EDS Lookup'!$G$6:$G$2819,$G1629))</f>
        <v/>
      </c>
      <c r="G1629" t="str">
        <f>IF(1606&lt;=$B$4,IFERROR(MATCH(1606,'EDS Lookup'!$H$6:$H$2819,0),""),"")</f>
        <v/>
      </c>
      <c r="H1629" t="str">
        <f t="shared" si="25"/>
        <v/>
      </c>
    </row>
    <row r="1630" spans="1:8" ht="19.95" customHeight="1">
      <c r="A1630" s="5" t="str">
        <f>IF($G1630="","",INDEX('EDS Lookup'!$D$6:$D$2819,$G1630))</f>
        <v/>
      </c>
      <c r="B1630" s="5" t="str">
        <f>IF($G1630="","",INDEX('EDS Lookup'!$B$6:$B$2819,$G1630))</f>
        <v/>
      </c>
      <c r="C1630" s="17"/>
      <c r="D1630" s="6"/>
      <c r="E1630" s="7" t="str">
        <f>IF($G1630="","",INDEX('EDS Lookup'!$F$6:$F$2819,$G1630))</f>
        <v/>
      </c>
      <c r="F1630" s="8" t="str">
        <f>IF($G1630="","",INDEX('EDS Lookup'!$G$6:$G$2819,$G1630))</f>
        <v/>
      </c>
      <c r="G1630" t="str">
        <f>IF(1607&lt;=$B$4,IFERROR(MATCH(1607,'EDS Lookup'!$H$6:$H$2819,0),""),"")</f>
        <v/>
      </c>
      <c r="H1630" t="str">
        <f t="shared" si="25"/>
        <v/>
      </c>
    </row>
    <row r="1631" spans="1:8" ht="19.95" customHeight="1">
      <c r="A1631" s="5" t="str">
        <f>IF($G1631="","",INDEX('EDS Lookup'!$D$6:$D$2819,$G1631))</f>
        <v/>
      </c>
      <c r="B1631" s="5" t="str">
        <f>IF($G1631="","",INDEX('EDS Lookup'!$B$6:$B$2819,$G1631))</f>
        <v/>
      </c>
      <c r="C1631" s="17"/>
      <c r="D1631" s="6"/>
      <c r="E1631" s="7" t="str">
        <f>IF($G1631="","",INDEX('EDS Lookup'!$F$6:$F$2819,$G1631))</f>
        <v/>
      </c>
      <c r="F1631" s="8" t="str">
        <f>IF($G1631="","",INDEX('EDS Lookup'!$G$6:$G$2819,$G1631))</f>
        <v/>
      </c>
      <c r="G1631" t="str">
        <f>IF(1608&lt;=$B$4,IFERROR(MATCH(1608,'EDS Lookup'!$H$6:$H$2819,0),""),"")</f>
        <v/>
      </c>
      <c r="H1631" t="str">
        <f t="shared" si="25"/>
        <v/>
      </c>
    </row>
    <row r="1632" spans="1:8" ht="19.95" customHeight="1">
      <c r="A1632" s="5" t="str">
        <f>IF($G1632="","",INDEX('EDS Lookup'!$D$6:$D$2819,$G1632))</f>
        <v/>
      </c>
      <c r="B1632" s="5" t="str">
        <f>IF($G1632="","",INDEX('EDS Lookup'!$B$6:$B$2819,$G1632))</f>
        <v/>
      </c>
      <c r="C1632" s="17"/>
      <c r="D1632" s="6"/>
      <c r="E1632" s="7" t="str">
        <f>IF($G1632="","",INDEX('EDS Lookup'!$F$6:$F$2819,$G1632))</f>
        <v/>
      </c>
      <c r="F1632" s="8" t="str">
        <f>IF($G1632="","",INDEX('EDS Lookup'!$G$6:$G$2819,$G1632))</f>
        <v/>
      </c>
      <c r="G1632" t="str">
        <f>IF(1609&lt;=$B$4,IFERROR(MATCH(1609,'EDS Lookup'!$H$6:$H$2819,0),""),"")</f>
        <v/>
      </c>
      <c r="H1632" t="str">
        <f t="shared" si="25"/>
        <v/>
      </c>
    </row>
    <row r="1633" spans="1:8" ht="19.95" customHeight="1">
      <c r="A1633" s="5" t="str">
        <f>IF($G1633="","",INDEX('EDS Lookup'!$D$6:$D$2819,$G1633))</f>
        <v/>
      </c>
      <c r="B1633" s="5" t="str">
        <f>IF($G1633="","",INDEX('EDS Lookup'!$B$6:$B$2819,$G1633))</f>
        <v/>
      </c>
      <c r="C1633" s="17"/>
      <c r="D1633" s="6"/>
      <c r="E1633" s="7" t="str">
        <f>IF($G1633="","",INDEX('EDS Lookup'!$F$6:$F$2819,$G1633))</f>
        <v/>
      </c>
      <c r="F1633" s="8" t="str">
        <f>IF($G1633="","",INDEX('EDS Lookup'!$G$6:$G$2819,$G1633))</f>
        <v/>
      </c>
      <c r="G1633" t="str">
        <f>IF(1610&lt;=$B$4,IFERROR(MATCH(1610,'EDS Lookup'!$H$6:$H$2819,0),""),"")</f>
        <v/>
      </c>
      <c r="H1633" t="str">
        <f t="shared" si="25"/>
        <v/>
      </c>
    </row>
    <row r="1634" spans="1:8" ht="19.95" customHeight="1">
      <c r="A1634" s="5" t="str">
        <f>IF($G1634="","",INDEX('EDS Lookup'!$D$6:$D$2819,$G1634))</f>
        <v/>
      </c>
      <c r="B1634" s="5" t="str">
        <f>IF($G1634="","",INDEX('EDS Lookup'!$B$6:$B$2819,$G1634))</f>
        <v/>
      </c>
      <c r="C1634" s="17"/>
      <c r="D1634" s="6"/>
      <c r="E1634" s="7" t="str">
        <f>IF($G1634="","",INDEX('EDS Lookup'!$F$6:$F$2819,$G1634))</f>
        <v/>
      </c>
      <c r="F1634" s="8" t="str">
        <f>IF($G1634="","",INDEX('EDS Lookup'!$G$6:$G$2819,$G1634))</f>
        <v/>
      </c>
      <c r="G1634" t="str">
        <f>IF(1611&lt;=$B$4,IFERROR(MATCH(1611,'EDS Lookup'!$H$6:$H$2819,0),""),"")</f>
        <v/>
      </c>
      <c r="H1634" t="str">
        <f t="shared" si="25"/>
        <v/>
      </c>
    </row>
    <row r="1635" spans="1:8" ht="19.95" customHeight="1">
      <c r="A1635" s="5" t="str">
        <f>IF($G1635="","",INDEX('EDS Lookup'!$D$6:$D$2819,$G1635))</f>
        <v/>
      </c>
      <c r="B1635" s="5" t="str">
        <f>IF($G1635="","",INDEX('EDS Lookup'!$B$6:$B$2819,$G1635))</f>
        <v/>
      </c>
      <c r="C1635" s="17"/>
      <c r="D1635" s="6"/>
      <c r="E1635" s="7" t="str">
        <f>IF($G1635="","",INDEX('EDS Lookup'!$F$6:$F$2819,$G1635))</f>
        <v/>
      </c>
      <c r="F1635" s="8" t="str">
        <f>IF($G1635="","",INDEX('EDS Lookup'!$G$6:$G$2819,$G1635))</f>
        <v/>
      </c>
      <c r="G1635" t="str">
        <f>IF(1612&lt;=$B$4,IFERROR(MATCH(1612,'EDS Lookup'!$H$6:$H$2819,0),""),"")</f>
        <v/>
      </c>
      <c r="H1635" t="str">
        <f t="shared" si="25"/>
        <v/>
      </c>
    </row>
    <row r="1636" spans="1:8" ht="19.95" customHeight="1">
      <c r="A1636" s="5" t="str">
        <f>IF($G1636="","",INDEX('EDS Lookup'!$D$6:$D$2819,$G1636))</f>
        <v/>
      </c>
      <c r="B1636" s="5" t="str">
        <f>IF($G1636="","",INDEX('EDS Lookup'!$B$6:$B$2819,$G1636))</f>
        <v/>
      </c>
      <c r="C1636" s="17"/>
      <c r="D1636" s="6"/>
      <c r="E1636" s="7" t="str">
        <f>IF($G1636="","",INDEX('EDS Lookup'!$F$6:$F$2819,$G1636))</f>
        <v/>
      </c>
      <c r="F1636" s="8" t="str">
        <f>IF($G1636="","",INDEX('EDS Lookup'!$G$6:$G$2819,$G1636))</f>
        <v/>
      </c>
      <c r="G1636" t="str">
        <f>IF(1613&lt;=$B$4,IFERROR(MATCH(1613,'EDS Lookup'!$H$6:$H$2819,0),""),"")</f>
        <v/>
      </c>
      <c r="H1636" t="str">
        <f t="shared" si="25"/>
        <v/>
      </c>
    </row>
    <row r="1637" spans="1:8" ht="19.95" customHeight="1">
      <c r="A1637" s="5" t="str">
        <f>IF($G1637="","",INDEX('EDS Lookup'!$D$6:$D$2819,$G1637))</f>
        <v/>
      </c>
      <c r="B1637" s="5" t="str">
        <f>IF($G1637="","",INDEX('EDS Lookup'!$B$6:$B$2819,$G1637))</f>
        <v/>
      </c>
      <c r="C1637" s="17"/>
      <c r="D1637" s="6"/>
      <c r="E1637" s="7" t="str">
        <f>IF($G1637="","",INDEX('EDS Lookup'!$F$6:$F$2819,$G1637))</f>
        <v/>
      </c>
      <c r="F1637" s="8" t="str">
        <f>IF($G1637="","",INDEX('EDS Lookup'!$G$6:$G$2819,$G1637))</f>
        <v/>
      </c>
      <c r="G1637" t="str">
        <f>IF(1614&lt;=$B$4,IFERROR(MATCH(1614,'EDS Lookup'!$H$6:$H$2819,0),""),"")</f>
        <v/>
      </c>
      <c r="H1637" t="str">
        <f t="shared" si="25"/>
        <v/>
      </c>
    </row>
    <row r="1638" spans="1:8" ht="19.95" customHeight="1">
      <c r="A1638" s="5" t="str">
        <f>IF($G1638="","",INDEX('EDS Lookup'!$D$6:$D$2819,$G1638))</f>
        <v/>
      </c>
      <c r="B1638" s="5" t="str">
        <f>IF($G1638="","",INDEX('EDS Lookup'!$B$6:$B$2819,$G1638))</f>
        <v/>
      </c>
      <c r="C1638" s="17"/>
      <c r="D1638" s="6"/>
      <c r="E1638" s="7" t="str">
        <f>IF($G1638="","",INDEX('EDS Lookup'!$F$6:$F$2819,$G1638))</f>
        <v/>
      </c>
      <c r="F1638" s="8" t="str">
        <f>IF($G1638="","",INDEX('EDS Lookup'!$G$6:$G$2819,$G1638))</f>
        <v/>
      </c>
      <c r="G1638" t="str">
        <f>IF(1615&lt;=$B$4,IFERROR(MATCH(1615,'EDS Lookup'!$H$6:$H$2819,0),""),"")</f>
        <v/>
      </c>
      <c r="H1638" t="str">
        <f t="shared" si="25"/>
        <v/>
      </c>
    </row>
    <row r="1639" spans="1:8" ht="19.95" customHeight="1">
      <c r="A1639" s="5" t="str">
        <f>IF($G1639="","",INDEX('EDS Lookup'!$D$6:$D$2819,$G1639))</f>
        <v/>
      </c>
      <c r="B1639" s="5" t="str">
        <f>IF($G1639="","",INDEX('EDS Lookup'!$B$6:$B$2819,$G1639))</f>
        <v/>
      </c>
      <c r="C1639" s="17"/>
      <c r="D1639" s="6"/>
      <c r="E1639" s="7" t="str">
        <f>IF($G1639="","",INDEX('EDS Lookup'!$F$6:$F$2819,$G1639))</f>
        <v/>
      </c>
      <c r="F1639" s="8" t="str">
        <f>IF($G1639="","",INDEX('EDS Lookup'!$G$6:$G$2819,$G1639))</f>
        <v/>
      </c>
      <c r="G1639" t="str">
        <f>IF(1616&lt;=$B$4,IFERROR(MATCH(1616,'EDS Lookup'!$H$6:$H$2819,0),""),"")</f>
        <v/>
      </c>
      <c r="H1639" t="str">
        <f t="shared" si="25"/>
        <v/>
      </c>
    </row>
    <row r="1640" spans="1:8" ht="19.95" customHeight="1">
      <c r="A1640" s="5" t="str">
        <f>IF($G1640="","",INDEX('EDS Lookup'!$D$6:$D$2819,$G1640))</f>
        <v/>
      </c>
      <c r="B1640" s="5" t="str">
        <f>IF($G1640="","",INDEX('EDS Lookup'!$B$6:$B$2819,$G1640))</f>
        <v/>
      </c>
      <c r="C1640" s="17"/>
      <c r="D1640" s="6"/>
      <c r="E1640" s="7" t="str">
        <f>IF($G1640="","",INDEX('EDS Lookup'!$F$6:$F$2819,$G1640))</f>
        <v/>
      </c>
      <c r="F1640" s="8" t="str">
        <f>IF($G1640="","",INDEX('EDS Lookup'!$G$6:$G$2819,$G1640))</f>
        <v/>
      </c>
      <c r="G1640" t="str">
        <f>IF(1617&lt;=$B$4,IFERROR(MATCH(1617,'EDS Lookup'!$H$6:$H$2819,0),""),"")</f>
        <v/>
      </c>
      <c r="H1640" t="str">
        <f t="shared" si="25"/>
        <v/>
      </c>
    </row>
    <row r="1641" spans="1:8" ht="19.95" customHeight="1">
      <c r="A1641" s="5" t="str">
        <f>IF($G1641="","",INDEX('EDS Lookup'!$D$6:$D$2819,$G1641))</f>
        <v/>
      </c>
      <c r="B1641" s="5" t="str">
        <f>IF($G1641="","",INDEX('EDS Lookup'!$B$6:$B$2819,$G1641))</f>
        <v/>
      </c>
      <c r="C1641" s="17"/>
      <c r="D1641" s="6"/>
      <c r="E1641" s="7" t="str">
        <f>IF($G1641="","",INDEX('EDS Lookup'!$F$6:$F$2819,$G1641))</f>
        <v/>
      </c>
      <c r="F1641" s="8" t="str">
        <f>IF($G1641="","",INDEX('EDS Lookup'!$G$6:$G$2819,$G1641))</f>
        <v/>
      </c>
      <c r="G1641" t="str">
        <f>IF(1618&lt;=$B$4,IFERROR(MATCH(1618,'EDS Lookup'!$H$6:$H$2819,0),""),"")</f>
        <v/>
      </c>
      <c r="H1641" t="str">
        <f t="shared" si="25"/>
        <v/>
      </c>
    </row>
    <row r="1642" spans="1:8" ht="19.95" customHeight="1">
      <c r="A1642" s="5" t="str">
        <f>IF($G1642="","",INDEX('EDS Lookup'!$D$6:$D$2819,$G1642))</f>
        <v/>
      </c>
      <c r="B1642" s="5" t="str">
        <f>IF($G1642="","",INDEX('EDS Lookup'!$B$6:$B$2819,$G1642))</f>
        <v/>
      </c>
      <c r="C1642" s="17"/>
      <c r="D1642" s="6"/>
      <c r="E1642" s="7" t="str">
        <f>IF($G1642="","",INDEX('EDS Lookup'!$F$6:$F$2819,$G1642))</f>
        <v/>
      </c>
      <c r="F1642" s="8" t="str">
        <f>IF($G1642="","",INDEX('EDS Lookup'!$G$6:$G$2819,$G1642))</f>
        <v/>
      </c>
      <c r="G1642" t="str">
        <f>IF(1619&lt;=$B$4,IFERROR(MATCH(1619,'EDS Lookup'!$H$6:$H$2819,0),""),"")</f>
        <v/>
      </c>
      <c r="H1642" t="str">
        <f t="shared" si="25"/>
        <v/>
      </c>
    </row>
    <row r="1643" spans="1:8" ht="19.95" customHeight="1">
      <c r="A1643" s="5" t="str">
        <f>IF($G1643="","",INDEX('EDS Lookup'!$D$6:$D$2819,$G1643))</f>
        <v/>
      </c>
      <c r="B1643" s="5" t="str">
        <f>IF($G1643="","",INDEX('EDS Lookup'!$B$6:$B$2819,$G1643))</f>
        <v/>
      </c>
      <c r="C1643" s="17"/>
      <c r="D1643" s="6"/>
      <c r="E1643" s="7" t="str">
        <f>IF($G1643="","",INDEX('EDS Lookup'!$F$6:$F$2819,$G1643))</f>
        <v/>
      </c>
      <c r="F1643" s="8" t="str">
        <f>IF($G1643="","",INDEX('EDS Lookup'!$G$6:$G$2819,$G1643))</f>
        <v/>
      </c>
      <c r="G1643" t="str">
        <f>IF(1620&lt;=$B$4,IFERROR(MATCH(1620,'EDS Lookup'!$H$6:$H$2819,0),""),"")</f>
        <v/>
      </c>
      <c r="H1643" t="str">
        <f t="shared" si="25"/>
        <v/>
      </c>
    </row>
    <row r="1644" spans="1:8" ht="19.95" customHeight="1">
      <c r="A1644" s="5" t="str">
        <f>IF($G1644="","",INDEX('EDS Lookup'!$D$6:$D$2819,$G1644))</f>
        <v/>
      </c>
      <c r="B1644" s="5" t="str">
        <f>IF($G1644="","",INDEX('EDS Lookup'!$B$6:$B$2819,$G1644))</f>
        <v/>
      </c>
      <c r="C1644" s="17"/>
      <c r="D1644" s="6"/>
      <c r="E1644" s="7" t="str">
        <f>IF($G1644="","",INDEX('EDS Lookup'!$F$6:$F$2819,$G1644))</f>
        <v/>
      </c>
      <c r="F1644" s="8" t="str">
        <f>IF($G1644="","",INDEX('EDS Lookup'!$G$6:$G$2819,$G1644))</f>
        <v/>
      </c>
      <c r="G1644" t="str">
        <f>IF(1621&lt;=$B$4,IFERROR(MATCH(1621,'EDS Lookup'!$H$6:$H$2819,0),""),"")</f>
        <v/>
      </c>
      <c r="H1644" t="str">
        <f t="shared" si="25"/>
        <v/>
      </c>
    </row>
    <row r="1645" spans="1:8" ht="19.95" customHeight="1">
      <c r="A1645" s="5" t="str">
        <f>IF($G1645="","",INDEX('EDS Lookup'!$D$6:$D$2819,$G1645))</f>
        <v/>
      </c>
      <c r="B1645" s="5" t="str">
        <f>IF($G1645="","",INDEX('EDS Lookup'!$B$6:$B$2819,$G1645))</f>
        <v/>
      </c>
      <c r="C1645" s="17"/>
      <c r="D1645" s="6"/>
      <c r="E1645" s="7" t="str">
        <f>IF($G1645="","",INDEX('EDS Lookup'!$F$6:$F$2819,$G1645))</f>
        <v/>
      </c>
      <c r="F1645" s="8" t="str">
        <f>IF($G1645="","",INDEX('EDS Lookup'!$G$6:$G$2819,$G1645))</f>
        <v/>
      </c>
      <c r="G1645" t="str">
        <f>IF(1622&lt;=$B$4,IFERROR(MATCH(1622,'EDS Lookup'!$H$6:$H$2819,0),""),"")</f>
        <v/>
      </c>
      <c r="H1645" t="str">
        <f t="shared" si="25"/>
        <v/>
      </c>
    </row>
    <row r="1646" spans="1:8" ht="19.95" customHeight="1">
      <c r="A1646" s="5" t="str">
        <f>IF($G1646="","",INDEX('EDS Lookup'!$D$6:$D$2819,$G1646))</f>
        <v/>
      </c>
      <c r="B1646" s="5" t="str">
        <f>IF($G1646="","",INDEX('EDS Lookup'!$B$6:$B$2819,$G1646))</f>
        <v/>
      </c>
      <c r="C1646" s="17"/>
      <c r="D1646" s="6"/>
      <c r="E1646" s="7" t="str">
        <f>IF($G1646="","",INDEX('EDS Lookup'!$F$6:$F$2819,$G1646))</f>
        <v/>
      </c>
      <c r="F1646" s="8" t="str">
        <f>IF($G1646="","",INDEX('EDS Lookup'!$G$6:$G$2819,$G1646))</f>
        <v/>
      </c>
      <c r="G1646" t="str">
        <f>IF(1623&lt;=$B$4,IFERROR(MATCH(1623,'EDS Lookup'!$H$6:$H$2819,0),""),"")</f>
        <v/>
      </c>
      <c r="H1646" t="str">
        <f t="shared" si="25"/>
        <v/>
      </c>
    </row>
    <row r="1647" spans="1:8" ht="19.95" customHeight="1">
      <c r="A1647" s="5" t="str">
        <f>IF($G1647="","",INDEX('EDS Lookup'!$D$6:$D$2819,$G1647))</f>
        <v/>
      </c>
      <c r="B1647" s="5" t="str">
        <f>IF($G1647="","",INDEX('EDS Lookup'!$B$6:$B$2819,$G1647))</f>
        <v/>
      </c>
      <c r="C1647" s="17"/>
      <c r="D1647" s="6"/>
      <c r="E1647" s="7" t="str">
        <f>IF($G1647="","",INDEX('EDS Lookup'!$F$6:$F$2819,$G1647))</f>
        <v/>
      </c>
      <c r="F1647" s="8" t="str">
        <f>IF($G1647="","",INDEX('EDS Lookup'!$G$6:$G$2819,$G1647))</f>
        <v/>
      </c>
      <c r="G1647" t="str">
        <f>IF(1624&lt;=$B$4,IFERROR(MATCH(1624,'EDS Lookup'!$H$6:$H$2819,0),""),"")</f>
        <v/>
      </c>
      <c r="H1647" t="str">
        <f t="shared" si="25"/>
        <v/>
      </c>
    </row>
    <row r="1648" spans="1:8" ht="19.95" customHeight="1">
      <c r="A1648" s="5" t="str">
        <f>IF($G1648="","",INDEX('EDS Lookup'!$D$6:$D$2819,$G1648))</f>
        <v/>
      </c>
      <c r="B1648" s="5" t="str">
        <f>IF($G1648="","",INDEX('EDS Lookup'!$B$6:$B$2819,$G1648))</f>
        <v/>
      </c>
      <c r="C1648" s="17"/>
      <c r="D1648" s="6"/>
      <c r="E1648" s="7" t="str">
        <f>IF($G1648="","",INDEX('EDS Lookup'!$F$6:$F$2819,$G1648))</f>
        <v/>
      </c>
      <c r="F1648" s="8" t="str">
        <f>IF($G1648="","",INDEX('EDS Lookup'!$G$6:$G$2819,$G1648))</f>
        <v/>
      </c>
      <c r="G1648" t="str">
        <f>IF(1625&lt;=$B$4,IFERROR(MATCH(1625,'EDS Lookup'!$H$6:$H$2819,0),""),"")</f>
        <v/>
      </c>
      <c r="H1648" t="str">
        <f t="shared" si="25"/>
        <v/>
      </c>
    </row>
    <row r="1649" spans="1:8" ht="19.95" customHeight="1">
      <c r="A1649" s="5" t="str">
        <f>IF($G1649="","",INDEX('EDS Lookup'!$D$6:$D$2819,$G1649))</f>
        <v/>
      </c>
      <c r="B1649" s="5" t="str">
        <f>IF($G1649="","",INDEX('EDS Lookup'!$B$6:$B$2819,$G1649))</f>
        <v/>
      </c>
      <c r="C1649" s="17"/>
      <c r="D1649" s="6"/>
      <c r="E1649" s="7" t="str">
        <f>IF($G1649="","",INDEX('EDS Lookup'!$F$6:$F$2819,$G1649))</f>
        <v/>
      </c>
      <c r="F1649" s="8" t="str">
        <f>IF($G1649="","",INDEX('EDS Lookup'!$G$6:$G$2819,$G1649))</f>
        <v/>
      </c>
      <c r="G1649" t="str">
        <f>IF(1626&lt;=$B$4,IFERROR(MATCH(1626,'EDS Lookup'!$H$6:$H$2819,0),""),"")</f>
        <v/>
      </c>
      <c r="H1649" t="str">
        <f t="shared" si="25"/>
        <v/>
      </c>
    </row>
    <row r="1650" spans="1:8" ht="19.95" customHeight="1">
      <c r="A1650" s="5" t="str">
        <f>IF($G1650="","",INDEX('EDS Lookup'!$D$6:$D$2819,$G1650))</f>
        <v/>
      </c>
      <c r="B1650" s="5" t="str">
        <f>IF($G1650="","",INDEX('EDS Lookup'!$B$6:$B$2819,$G1650))</f>
        <v/>
      </c>
      <c r="C1650" s="17"/>
      <c r="D1650" s="6"/>
      <c r="E1650" s="7" t="str">
        <f>IF($G1650="","",INDEX('EDS Lookup'!$F$6:$F$2819,$G1650))</f>
        <v/>
      </c>
      <c r="F1650" s="8" t="str">
        <f>IF($G1650="","",INDEX('EDS Lookup'!$G$6:$G$2819,$G1650))</f>
        <v/>
      </c>
      <c r="G1650" t="str">
        <f>IF(1627&lt;=$B$4,IFERROR(MATCH(1627,'EDS Lookup'!$H$6:$H$2819,0),""),"")</f>
        <v/>
      </c>
      <c r="H1650" t="str">
        <f t="shared" si="25"/>
        <v/>
      </c>
    </row>
    <row r="1651" spans="1:8" ht="19.95" customHeight="1">
      <c r="A1651" s="5" t="str">
        <f>IF($G1651="","",INDEX('EDS Lookup'!$D$6:$D$2819,$G1651))</f>
        <v/>
      </c>
      <c r="B1651" s="5" t="str">
        <f>IF($G1651="","",INDEX('EDS Lookup'!$B$6:$B$2819,$G1651))</f>
        <v/>
      </c>
      <c r="C1651" s="17"/>
      <c r="D1651" s="6"/>
      <c r="E1651" s="7" t="str">
        <f>IF($G1651="","",INDEX('EDS Lookup'!$F$6:$F$2819,$G1651))</f>
        <v/>
      </c>
      <c r="F1651" s="8" t="str">
        <f>IF($G1651="","",INDEX('EDS Lookup'!$G$6:$G$2819,$G1651))</f>
        <v/>
      </c>
      <c r="G1651" t="str">
        <f>IF(1628&lt;=$B$4,IFERROR(MATCH(1628,'EDS Lookup'!$H$6:$H$2819,0),""),"")</f>
        <v/>
      </c>
      <c r="H1651" t="str">
        <f t="shared" si="25"/>
        <v/>
      </c>
    </row>
    <row r="1652" spans="1:8" ht="19.95" customHeight="1">
      <c r="A1652" s="5" t="str">
        <f>IF($G1652="","",INDEX('EDS Lookup'!$D$6:$D$2819,$G1652))</f>
        <v/>
      </c>
      <c r="B1652" s="5" t="str">
        <f>IF($G1652="","",INDEX('EDS Lookup'!$B$6:$B$2819,$G1652))</f>
        <v/>
      </c>
      <c r="C1652" s="17"/>
      <c r="D1652" s="6"/>
      <c r="E1652" s="7" t="str">
        <f>IF($G1652="","",INDEX('EDS Lookup'!$F$6:$F$2819,$G1652))</f>
        <v/>
      </c>
      <c r="F1652" s="8" t="str">
        <f>IF($G1652="","",INDEX('EDS Lookup'!$G$6:$G$2819,$G1652))</f>
        <v/>
      </c>
      <c r="G1652" t="str">
        <f>IF(1629&lt;=$B$4,IFERROR(MATCH(1629,'EDS Lookup'!$H$6:$H$2819,0),""),"")</f>
        <v/>
      </c>
      <c r="H1652" t="str">
        <f t="shared" si="25"/>
        <v/>
      </c>
    </row>
    <row r="1653" spans="1:8" ht="19.95" customHeight="1">
      <c r="A1653" s="5" t="str">
        <f>IF($G1653="","",INDEX('EDS Lookup'!$D$6:$D$2819,$G1653))</f>
        <v/>
      </c>
      <c r="B1653" s="5" t="str">
        <f>IF($G1653="","",INDEX('EDS Lookup'!$B$6:$B$2819,$G1653))</f>
        <v/>
      </c>
      <c r="C1653" s="17"/>
      <c r="D1653" s="6"/>
      <c r="E1653" s="7" t="str">
        <f>IF($G1653="","",INDEX('EDS Lookup'!$F$6:$F$2819,$G1653))</f>
        <v/>
      </c>
      <c r="F1653" s="8" t="str">
        <f>IF($G1653="","",INDEX('EDS Lookup'!$G$6:$G$2819,$G1653))</f>
        <v/>
      </c>
      <c r="G1653" t="str">
        <f>IF(1630&lt;=$B$4,IFERROR(MATCH(1630,'EDS Lookup'!$H$6:$H$2819,0),""),"")</f>
        <v/>
      </c>
      <c r="H1653" t="str">
        <f t="shared" si="25"/>
        <v/>
      </c>
    </row>
    <row r="1654" spans="1:8" ht="19.95" customHeight="1">
      <c r="A1654" s="5" t="str">
        <f>IF($G1654="","",INDEX('EDS Lookup'!$D$6:$D$2819,$G1654))</f>
        <v/>
      </c>
      <c r="B1654" s="5" t="str">
        <f>IF($G1654="","",INDEX('EDS Lookup'!$B$6:$B$2819,$G1654))</f>
        <v/>
      </c>
      <c r="C1654" s="17"/>
      <c r="D1654" s="6"/>
      <c r="E1654" s="7" t="str">
        <f>IF($G1654="","",INDEX('EDS Lookup'!$F$6:$F$2819,$G1654))</f>
        <v/>
      </c>
      <c r="F1654" s="8" t="str">
        <f>IF($G1654="","",INDEX('EDS Lookup'!$G$6:$G$2819,$G1654))</f>
        <v/>
      </c>
      <c r="G1654" t="str">
        <f>IF(1631&lt;=$B$4,IFERROR(MATCH(1631,'EDS Lookup'!$H$6:$H$2819,0),""),"")</f>
        <v/>
      </c>
      <c r="H1654" t="str">
        <f t="shared" si="25"/>
        <v/>
      </c>
    </row>
    <row r="1655" spans="1:8" ht="19.95" customHeight="1">
      <c r="A1655" s="5" t="str">
        <f>IF($G1655="","",INDEX('EDS Lookup'!$D$6:$D$2819,$G1655))</f>
        <v/>
      </c>
      <c r="B1655" s="5" t="str">
        <f>IF($G1655="","",INDEX('EDS Lookup'!$B$6:$B$2819,$G1655))</f>
        <v/>
      </c>
      <c r="C1655" s="17"/>
      <c r="D1655" s="6"/>
      <c r="E1655" s="7" t="str">
        <f>IF($G1655="","",INDEX('EDS Lookup'!$F$6:$F$2819,$G1655))</f>
        <v/>
      </c>
      <c r="F1655" s="8" t="str">
        <f>IF($G1655="","",INDEX('EDS Lookup'!$G$6:$G$2819,$G1655))</f>
        <v/>
      </c>
      <c r="G1655" t="str">
        <f>IF(1632&lt;=$B$4,IFERROR(MATCH(1632,'EDS Lookup'!$H$6:$H$2819,0),""),"")</f>
        <v/>
      </c>
      <c r="H1655" t="str">
        <f t="shared" si="25"/>
        <v/>
      </c>
    </row>
    <row r="1656" spans="1:8" ht="19.95" customHeight="1">
      <c r="A1656" s="5" t="str">
        <f>IF($G1656="","",INDEX('EDS Lookup'!$D$6:$D$2819,$G1656))</f>
        <v/>
      </c>
      <c r="B1656" s="5" t="str">
        <f>IF($G1656="","",INDEX('EDS Lookup'!$B$6:$B$2819,$G1656))</f>
        <v/>
      </c>
      <c r="C1656" s="17"/>
      <c r="D1656" s="6"/>
      <c r="E1656" s="7" t="str">
        <f>IF($G1656="","",INDEX('EDS Lookup'!$F$6:$F$2819,$G1656))</f>
        <v/>
      </c>
      <c r="F1656" s="8" t="str">
        <f>IF($G1656="","",INDEX('EDS Lookup'!$G$6:$G$2819,$G1656))</f>
        <v/>
      </c>
      <c r="G1656" t="str">
        <f>IF(1633&lt;=$B$4,IFERROR(MATCH(1633,'EDS Lookup'!$H$6:$H$2819,0),""),"")</f>
        <v/>
      </c>
      <c r="H1656" t="str">
        <f t="shared" si="25"/>
        <v/>
      </c>
    </row>
    <row r="1657" spans="1:8" ht="19.95" customHeight="1">
      <c r="A1657" s="5" t="str">
        <f>IF($G1657="","",INDEX('EDS Lookup'!$D$6:$D$2819,$G1657))</f>
        <v/>
      </c>
      <c r="B1657" s="5" t="str">
        <f>IF($G1657="","",INDEX('EDS Lookup'!$B$6:$B$2819,$G1657))</f>
        <v/>
      </c>
      <c r="C1657" s="17"/>
      <c r="D1657" s="6"/>
      <c r="E1657" s="7" t="str">
        <f>IF($G1657="","",INDEX('EDS Lookup'!$F$6:$F$2819,$G1657))</f>
        <v/>
      </c>
      <c r="F1657" s="8" t="str">
        <f>IF($G1657="","",INDEX('EDS Lookup'!$G$6:$G$2819,$G1657))</f>
        <v/>
      </c>
      <c r="G1657" t="str">
        <f>IF(1634&lt;=$B$4,IFERROR(MATCH(1634,'EDS Lookup'!$H$6:$H$2819,0),""),"")</f>
        <v/>
      </c>
      <c r="H1657" t="str">
        <f t="shared" si="25"/>
        <v/>
      </c>
    </row>
    <row r="1658" spans="1:8" ht="19.95" customHeight="1">
      <c r="A1658" s="5" t="str">
        <f>IF($G1658="","",INDEX('EDS Lookup'!$D$6:$D$2819,$G1658))</f>
        <v/>
      </c>
      <c r="B1658" s="5" t="str">
        <f>IF($G1658="","",INDEX('EDS Lookup'!$B$6:$B$2819,$G1658))</f>
        <v/>
      </c>
      <c r="C1658" s="17"/>
      <c r="D1658" s="6"/>
      <c r="E1658" s="7" t="str">
        <f>IF($G1658="","",INDEX('EDS Lookup'!$F$6:$F$2819,$G1658))</f>
        <v/>
      </c>
      <c r="F1658" s="8" t="str">
        <f>IF($G1658="","",INDEX('EDS Lookup'!$G$6:$G$2819,$G1658))</f>
        <v/>
      </c>
      <c r="G1658" t="str">
        <f>IF(1635&lt;=$B$4,IFERROR(MATCH(1635,'EDS Lookup'!$H$6:$H$2819,0),""),"")</f>
        <v/>
      </c>
      <c r="H1658" t="str">
        <f t="shared" si="25"/>
        <v/>
      </c>
    </row>
    <row r="1659" spans="1:8" ht="19.95" customHeight="1">
      <c r="A1659" s="5" t="str">
        <f>IF($G1659="","",INDEX('EDS Lookup'!$D$6:$D$2819,$G1659))</f>
        <v/>
      </c>
      <c r="B1659" s="5" t="str">
        <f>IF($G1659="","",INDEX('EDS Lookup'!$B$6:$B$2819,$G1659))</f>
        <v/>
      </c>
      <c r="C1659" s="17"/>
      <c r="D1659" s="6"/>
      <c r="E1659" s="7" t="str">
        <f>IF($G1659="","",INDEX('EDS Lookup'!$F$6:$F$2819,$G1659))</f>
        <v/>
      </c>
      <c r="F1659" s="8" t="str">
        <f>IF($G1659="","",INDEX('EDS Lookup'!$G$6:$G$2819,$G1659))</f>
        <v/>
      </c>
      <c r="G1659" t="str">
        <f>IF(1636&lt;=$B$4,IFERROR(MATCH(1636,'EDS Lookup'!$H$6:$H$2819,0),""),"")</f>
        <v/>
      </c>
      <c r="H1659" t="str">
        <f t="shared" si="25"/>
        <v/>
      </c>
    </row>
    <row r="1660" spans="1:8" ht="19.95" customHeight="1">
      <c r="A1660" s="5" t="str">
        <f>IF($G1660="","",INDEX('EDS Lookup'!$D$6:$D$2819,$G1660))</f>
        <v/>
      </c>
      <c r="B1660" s="5" t="str">
        <f>IF($G1660="","",INDEX('EDS Lookup'!$B$6:$B$2819,$G1660))</f>
        <v/>
      </c>
      <c r="C1660" s="17"/>
      <c r="D1660" s="6"/>
      <c r="E1660" s="7" t="str">
        <f>IF($G1660="","",INDEX('EDS Lookup'!$F$6:$F$2819,$G1660))</f>
        <v/>
      </c>
      <c r="F1660" s="8" t="str">
        <f>IF($G1660="","",INDEX('EDS Lookup'!$G$6:$G$2819,$G1660))</f>
        <v/>
      </c>
      <c r="G1660" t="str">
        <f>IF(1637&lt;=$B$4,IFERROR(MATCH(1637,'EDS Lookup'!$H$6:$H$2819,0),""),"")</f>
        <v/>
      </c>
      <c r="H1660" t="str">
        <f t="shared" si="25"/>
        <v/>
      </c>
    </row>
    <row r="1661" spans="1:8" ht="19.95" customHeight="1">
      <c r="A1661" s="5" t="str">
        <f>IF($G1661="","",INDEX('EDS Lookup'!$D$6:$D$2819,$G1661))</f>
        <v/>
      </c>
      <c r="B1661" s="5" t="str">
        <f>IF($G1661="","",INDEX('EDS Lookup'!$B$6:$B$2819,$G1661))</f>
        <v/>
      </c>
      <c r="C1661" s="17"/>
      <c r="D1661" s="6"/>
      <c r="E1661" s="7" t="str">
        <f>IF($G1661="","",INDEX('EDS Lookup'!$F$6:$F$2819,$G1661))</f>
        <v/>
      </c>
      <c r="F1661" s="8" t="str">
        <f>IF($G1661="","",INDEX('EDS Lookup'!$G$6:$G$2819,$G1661))</f>
        <v/>
      </c>
      <c r="G1661" t="str">
        <f>IF(1638&lt;=$B$4,IFERROR(MATCH(1638,'EDS Lookup'!$H$6:$H$2819,0),""),"")</f>
        <v/>
      </c>
      <c r="H1661" t="str">
        <f t="shared" si="25"/>
        <v/>
      </c>
    </row>
    <row r="1662" spans="1:8" ht="19.95" customHeight="1">
      <c r="A1662" s="5" t="str">
        <f>IF($G1662="","",INDEX('EDS Lookup'!$D$6:$D$2819,$G1662))</f>
        <v/>
      </c>
      <c r="B1662" s="5" t="str">
        <f>IF($G1662="","",INDEX('EDS Lookup'!$B$6:$B$2819,$G1662))</f>
        <v/>
      </c>
      <c r="C1662" s="17"/>
      <c r="D1662" s="6"/>
      <c r="E1662" s="7" t="str">
        <f>IF($G1662="","",INDEX('EDS Lookup'!$F$6:$F$2819,$G1662))</f>
        <v/>
      </c>
      <c r="F1662" s="8" t="str">
        <f>IF($G1662="","",INDEX('EDS Lookup'!$G$6:$G$2819,$G1662))</f>
        <v/>
      </c>
      <c r="G1662" t="str">
        <f>IF(1639&lt;=$B$4,IFERROR(MATCH(1639,'EDS Lookup'!$H$6:$H$2819,0),""),"")</f>
        <v/>
      </c>
      <c r="H1662" t="str">
        <f t="shared" si="25"/>
        <v/>
      </c>
    </row>
    <row r="1663" spans="1:8" ht="19.95" customHeight="1">
      <c r="A1663" s="5" t="str">
        <f>IF($G1663="","",INDEX('EDS Lookup'!$D$6:$D$2819,$G1663))</f>
        <v/>
      </c>
      <c r="B1663" s="5" t="str">
        <f>IF($G1663="","",INDEX('EDS Lookup'!$B$6:$B$2819,$G1663))</f>
        <v/>
      </c>
      <c r="C1663" s="17"/>
      <c r="D1663" s="6"/>
      <c r="E1663" s="7" t="str">
        <f>IF($G1663="","",INDEX('EDS Lookup'!$F$6:$F$2819,$G1663))</f>
        <v/>
      </c>
      <c r="F1663" s="8" t="str">
        <f>IF($G1663="","",INDEX('EDS Lookup'!$G$6:$G$2819,$G1663))</f>
        <v/>
      </c>
      <c r="G1663" t="str">
        <f>IF(1640&lt;=$B$4,IFERROR(MATCH(1640,'EDS Lookup'!$H$6:$H$2819,0),""),"")</f>
        <v/>
      </c>
      <c r="H1663" t="str">
        <f t="shared" si="25"/>
        <v/>
      </c>
    </row>
    <row r="1664" spans="1:8" ht="19.95" customHeight="1">
      <c r="A1664" s="5" t="str">
        <f>IF($G1664="","",INDEX('EDS Lookup'!$D$6:$D$2819,$G1664))</f>
        <v/>
      </c>
      <c r="B1664" s="5" t="str">
        <f>IF($G1664="","",INDEX('EDS Lookup'!$B$6:$B$2819,$G1664))</f>
        <v/>
      </c>
      <c r="C1664" s="17"/>
      <c r="D1664" s="6"/>
      <c r="E1664" s="7" t="str">
        <f>IF($G1664="","",INDEX('EDS Lookup'!$F$6:$F$2819,$G1664))</f>
        <v/>
      </c>
      <c r="F1664" s="8" t="str">
        <f>IF($G1664="","",INDEX('EDS Lookup'!$G$6:$G$2819,$G1664))</f>
        <v/>
      </c>
      <c r="G1664" t="str">
        <f>IF(1641&lt;=$B$4,IFERROR(MATCH(1641,'EDS Lookup'!$H$6:$H$2819,0),""),"")</f>
        <v/>
      </c>
      <c r="H1664" t="str">
        <f t="shared" si="25"/>
        <v/>
      </c>
    </row>
    <row r="1665" spans="1:8" ht="19.95" customHeight="1">
      <c r="A1665" s="5" t="str">
        <f>IF($G1665="","",INDEX('EDS Lookup'!$D$6:$D$2819,$G1665))</f>
        <v/>
      </c>
      <c r="B1665" s="5" t="str">
        <f>IF($G1665="","",INDEX('EDS Lookup'!$B$6:$B$2819,$G1665))</f>
        <v/>
      </c>
      <c r="C1665" s="17"/>
      <c r="D1665" s="6"/>
      <c r="E1665" s="7" t="str">
        <f>IF($G1665="","",INDEX('EDS Lookup'!$F$6:$F$2819,$G1665))</f>
        <v/>
      </c>
      <c r="F1665" s="8" t="str">
        <f>IF($G1665="","",INDEX('EDS Lookup'!$G$6:$G$2819,$G1665))</f>
        <v/>
      </c>
      <c r="G1665" t="str">
        <f>IF(1642&lt;=$B$4,IFERROR(MATCH(1642,'EDS Lookup'!$H$6:$H$2819,0),""),"")</f>
        <v/>
      </c>
      <c r="H1665" t="str">
        <f t="shared" si="25"/>
        <v/>
      </c>
    </row>
    <row r="1666" spans="1:8" ht="19.95" customHeight="1">
      <c r="A1666" s="5" t="str">
        <f>IF($G1666="","",INDEX('EDS Lookup'!$D$6:$D$2819,$G1666))</f>
        <v/>
      </c>
      <c r="B1666" s="5" t="str">
        <f>IF($G1666="","",INDEX('EDS Lookup'!$B$6:$B$2819,$G1666))</f>
        <v/>
      </c>
      <c r="C1666" s="17"/>
      <c r="D1666" s="6"/>
      <c r="E1666" s="7" t="str">
        <f>IF($G1666="","",INDEX('EDS Lookup'!$F$6:$F$2819,$G1666))</f>
        <v/>
      </c>
      <c r="F1666" s="8" t="str">
        <f>IF($G1666="","",INDEX('EDS Lookup'!$G$6:$G$2819,$G1666))</f>
        <v/>
      </c>
      <c r="G1666" t="str">
        <f>IF(1643&lt;=$B$4,IFERROR(MATCH(1643,'EDS Lookup'!$H$6:$H$2819,0),""),"")</f>
        <v/>
      </c>
      <c r="H1666" t="str">
        <f t="shared" si="25"/>
        <v/>
      </c>
    </row>
    <row r="1667" spans="1:8" ht="19.95" customHeight="1">
      <c r="A1667" s="5" t="str">
        <f>IF($G1667="","",INDEX('EDS Lookup'!$D$6:$D$2819,$G1667))</f>
        <v/>
      </c>
      <c r="B1667" s="5" t="str">
        <f>IF($G1667="","",INDEX('EDS Lookup'!$B$6:$B$2819,$G1667))</f>
        <v/>
      </c>
      <c r="C1667" s="17"/>
      <c r="D1667" s="6"/>
      <c r="E1667" s="7" t="str">
        <f>IF($G1667="","",INDEX('EDS Lookup'!$F$6:$F$2819,$G1667))</f>
        <v/>
      </c>
      <c r="F1667" s="8" t="str">
        <f>IF($G1667="","",INDEX('EDS Lookup'!$G$6:$G$2819,$G1667))</f>
        <v/>
      </c>
      <c r="G1667" t="str">
        <f>IF(1644&lt;=$B$4,IFERROR(MATCH(1644,'EDS Lookup'!$H$6:$H$2819,0),""),"")</f>
        <v/>
      </c>
      <c r="H1667" t="str">
        <f t="shared" si="25"/>
        <v/>
      </c>
    </row>
    <row r="1668" spans="1:8" ht="19.95" customHeight="1">
      <c r="A1668" s="5" t="str">
        <f>IF($G1668="","",INDEX('EDS Lookup'!$D$6:$D$2819,$G1668))</f>
        <v/>
      </c>
      <c r="B1668" s="5" t="str">
        <f>IF($G1668="","",INDEX('EDS Lookup'!$B$6:$B$2819,$G1668))</f>
        <v/>
      </c>
      <c r="C1668" s="17"/>
      <c r="D1668" s="6"/>
      <c r="E1668" s="7" t="str">
        <f>IF($G1668="","",INDEX('EDS Lookup'!$F$6:$F$2819,$G1668))</f>
        <v/>
      </c>
      <c r="F1668" s="8" t="str">
        <f>IF($G1668="","",INDEX('EDS Lookup'!$G$6:$G$2819,$G1668))</f>
        <v/>
      </c>
      <c r="G1668" t="str">
        <f>IF(1645&lt;=$B$4,IFERROR(MATCH(1645,'EDS Lookup'!$H$6:$H$2819,0),""),"")</f>
        <v/>
      </c>
      <c r="H1668" t="str">
        <f t="shared" si="25"/>
        <v/>
      </c>
    </row>
    <row r="1669" spans="1:8" ht="19.95" customHeight="1">
      <c r="A1669" s="5" t="str">
        <f>IF($G1669="","",INDEX('EDS Lookup'!$D$6:$D$2819,$G1669))</f>
        <v/>
      </c>
      <c r="B1669" s="5" t="str">
        <f>IF($G1669="","",INDEX('EDS Lookup'!$B$6:$B$2819,$G1669))</f>
        <v/>
      </c>
      <c r="C1669" s="17"/>
      <c r="D1669" s="6"/>
      <c r="E1669" s="7" t="str">
        <f>IF($G1669="","",INDEX('EDS Lookup'!$F$6:$F$2819,$G1669))</f>
        <v/>
      </c>
      <c r="F1669" s="8" t="str">
        <f>IF($G1669="","",INDEX('EDS Lookup'!$G$6:$G$2819,$G1669))</f>
        <v/>
      </c>
      <c r="G1669" t="str">
        <f>IF(1646&lt;=$B$4,IFERROR(MATCH(1646,'EDS Lookup'!$H$6:$H$2819,0),""),"")</f>
        <v/>
      </c>
      <c r="H1669" t="str">
        <f t="shared" si="25"/>
        <v/>
      </c>
    </row>
    <row r="1670" spans="1:8" ht="19.95" customHeight="1">
      <c r="A1670" s="5" t="str">
        <f>IF($G1670="","",INDEX('EDS Lookup'!$D$6:$D$2819,$G1670))</f>
        <v/>
      </c>
      <c r="B1670" s="5" t="str">
        <f>IF($G1670="","",INDEX('EDS Lookup'!$B$6:$B$2819,$G1670))</f>
        <v/>
      </c>
      <c r="C1670" s="17"/>
      <c r="D1670" s="6"/>
      <c r="E1670" s="7" t="str">
        <f>IF($G1670="","",INDEX('EDS Lookup'!$F$6:$F$2819,$G1670))</f>
        <v/>
      </c>
      <c r="F1670" s="8" t="str">
        <f>IF($G1670="","",INDEX('EDS Lookup'!$G$6:$G$2819,$G1670))</f>
        <v/>
      </c>
      <c r="G1670" t="str">
        <f>IF(1647&lt;=$B$4,IFERROR(MATCH(1647,'EDS Lookup'!$H$6:$H$2819,0),""),"")</f>
        <v/>
      </c>
      <c r="H1670" t="str">
        <f t="shared" si="25"/>
        <v/>
      </c>
    </row>
    <row r="1671" spans="1:8" ht="19.95" customHeight="1">
      <c r="A1671" s="5" t="str">
        <f>IF($G1671="","",INDEX('EDS Lookup'!$D$6:$D$2819,$G1671))</f>
        <v/>
      </c>
      <c r="B1671" s="5" t="str">
        <f>IF($G1671="","",INDEX('EDS Lookup'!$B$6:$B$2819,$G1671))</f>
        <v/>
      </c>
      <c r="C1671" s="17"/>
      <c r="D1671" s="6"/>
      <c r="E1671" s="7" t="str">
        <f>IF($G1671="","",INDEX('EDS Lookup'!$F$6:$F$2819,$G1671))</f>
        <v/>
      </c>
      <c r="F1671" s="8" t="str">
        <f>IF($G1671="","",INDEX('EDS Lookup'!$G$6:$G$2819,$G1671))</f>
        <v/>
      </c>
      <c r="G1671" t="str">
        <f>IF(1648&lt;=$B$4,IFERROR(MATCH(1648,'EDS Lookup'!$H$6:$H$2819,0),""),"")</f>
        <v/>
      </c>
      <c r="H1671" t="str">
        <f t="shared" si="25"/>
        <v/>
      </c>
    </row>
    <row r="1672" spans="1:8" ht="19.95" customHeight="1">
      <c r="A1672" s="5" t="str">
        <f>IF($G1672="","",INDEX('EDS Lookup'!$D$6:$D$2819,$G1672))</f>
        <v/>
      </c>
      <c r="B1672" s="5" t="str">
        <f>IF($G1672="","",INDEX('EDS Lookup'!$B$6:$B$2819,$G1672))</f>
        <v/>
      </c>
      <c r="C1672" s="17"/>
      <c r="D1672" s="6"/>
      <c r="E1672" s="7" t="str">
        <f>IF($G1672="","",INDEX('EDS Lookup'!$F$6:$F$2819,$G1672))</f>
        <v/>
      </c>
      <c r="F1672" s="8" t="str">
        <f>IF($G1672="","",INDEX('EDS Lookup'!$G$6:$G$2819,$G1672))</f>
        <v/>
      </c>
      <c r="G1672" t="str">
        <f>IF(1649&lt;=$B$4,IFERROR(MATCH(1649,'EDS Lookup'!$H$6:$H$2819,0),""),"")</f>
        <v/>
      </c>
      <c r="H1672" t="str">
        <f t="shared" si="25"/>
        <v/>
      </c>
    </row>
    <row r="1673" spans="1:8" ht="19.95" customHeight="1">
      <c r="A1673" s="5" t="str">
        <f>IF($G1673="","",INDEX('EDS Lookup'!$D$6:$D$2819,$G1673))</f>
        <v/>
      </c>
      <c r="B1673" s="5" t="str">
        <f>IF($G1673="","",INDEX('EDS Lookup'!$B$6:$B$2819,$G1673))</f>
        <v/>
      </c>
      <c r="C1673" s="17"/>
      <c r="D1673" s="6"/>
      <c r="E1673" s="7" t="str">
        <f>IF($G1673="","",INDEX('EDS Lookup'!$F$6:$F$2819,$G1673))</f>
        <v/>
      </c>
      <c r="F1673" s="8" t="str">
        <f>IF($G1673="","",INDEX('EDS Lookup'!$G$6:$G$2819,$G1673))</f>
        <v/>
      </c>
      <c r="G1673" t="str">
        <f>IF(1650&lt;=$B$4,IFERROR(MATCH(1650,'EDS Lookup'!$H$6:$H$2819,0),""),"")</f>
        <v/>
      </c>
      <c r="H1673" t="str">
        <f t="shared" si="25"/>
        <v/>
      </c>
    </row>
    <row r="1674" spans="1:8" ht="19.95" customHeight="1">
      <c r="A1674" s="5" t="str">
        <f>IF($G1674="","",INDEX('EDS Lookup'!$D$6:$D$2819,$G1674))</f>
        <v/>
      </c>
      <c r="B1674" s="5" t="str">
        <f>IF($G1674="","",INDEX('EDS Lookup'!$B$6:$B$2819,$G1674))</f>
        <v/>
      </c>
      <c r="C1674" s="17"/>
      <c r="D1674" s="6"/>
      <c r="E1674" s="7" t="str">
        <f>IF($G1674="","",INDEX('EDS Lookup'!$F$6:$F$2819,$G1674))</f>
        <v/>
      </c>
      <c r="F1674" s="8" t="str">
        <f>IF($G1674="","",INDEX('EDS Lookup'!$G$6:$G$2819,$G1674))</f>
        <v/>
      </c>
      <c r="G1674" t="str">
        <f>IF(1651&lt;=$B$4,IFERROR(MATCH(1651,'EDS Lookup'!$H$6:$H$2819,0),""),"")</f>
        <v/>
      </c>
      <c r="H1674" t="str">
        <f t="shared" si="25"/>
        <v/>
      </c>
    </row>
    <row r="1675" spans="1:8" ht="19.95" customHeight="1">
      <c r="A1675" s="5" t="str">
        <f>IF($G1675="","",INDEX('EDS Lookup'!$D$6:$D$2819,$G1675))</f>
        <v/>
      </c>
      <c r="B1675" s="5" t="str">
        <f>IF($G1675="","",INDEX('EDS Lookup'!$B$6:$B$2819,$G1675))</f>
        <v/>
      </c>
      <c r="C1675" s="17"/>
      <c r="D1675" s="6"/>
      <c r="E1675" s="7" t="str">
        <f>IF($G1675="","",INDEX('EDS Lookup'!$F$6:$F$2819,$G1675))</f>
        <v/>
      </c>
      <c r="F1675" s="8" t="str">
        <f>IF($G1675="","",INDEX('EDS Lookup'!$G$6:$G$2819,$G1675))</f>
        <v/>
      </c>
      <c r="G1675" t="str">
        <f>IF(1652&lt;=$B$4,IFERROR(MATCH(1652,'EDS Lookup'!$H$6:$H$2819,0),""),"")</f>
        <v/>
      </c>
      <c r="H1675" t="str">
        <f t="shared" si="25"/>
        <v/>
      </c>
    </row>
    <row r="1676" spans="1:8" ht="19.95" customHeight="1">
      <c r="A1676" s="5" t="str">
        <f>IF($G1676="","",INDEX('EDS Lookup'!$D$6:$D$2819,$G1676))</f>
        <v/>
      </c>
      <c r="B1676" s="5" t="str">
        <f>IF($G1676="","",INDEX('EDS Lookup'!$B$6:$B$2819,$G1676))</f>
        <v/>
      </c>
      <c r="C1676" s="17"/>
      <c r="D1676" s="6"/>
      <c r="E1676" s="7" t="str">
        <f>IF($G1676="","",INDEX('EDS Lookup'!$F$6:$F$2819,$G1676))</f>
        <v/>
      </c>
      <c r="F1676" s="8" t="str">
        <f>IF($G1676="","",INDEX('EDS Lookup'!$G$6:$G$2819,$G1676))</f>
        <v/>
      </c>
      <c r="G1676" t="str">
        <f>IF(1653&lt;=$B$4,IFERROR(MATCH(1653,'EDS Lookup'!$H$6:$H$2819,0),""),"")</f>
        <v/>
      </c>
      <c r="H1676" t="str">
        <f t="shared" si="25"/>
        <v/>
      </c>
    </row>
    <row r="1677" spans="1:8" ht="19.95" customHeight="1">
      <c r="A1677" s="5" t="str">
        <f>IF($G1677="","",INDEX('EDS Lookup'!$D$6:$D$2819,$G1677))</f>
        <v/>
      </c>
      <c r="B1677" s="5" t="str">
        <f>IF($G1677="","",INDEX('EDS Lookup'!$B$6:$B$2819,$G1677))</f>
        <v/>
      </c>
      <c r="C1677" s="17"/>
      <c r="D1677" s="6"/>
      <c r="E1677" s="7" t="str">
        <f>IF($G1677="","",INDEX('EDS Lookup'!$F$6:$F$2819,$G1677))</f>
        <v/>
      </c>
      <c r="F1677" s="8" t="str">
        <f>IF($G1677="","",INDEX('EDS Lookup'!$G$6:$G$2819,$G1677))</f>
        <v/>
      </c>
      <c r="G1677" t="str">
        <f>IF(1654&lt;=$B$4,IFERROR(MATCH(1654,'EDS Lookup'!$H$6:$H$2819,0),""),"")</f>
        <v/>
      </c>
      <c r="H1677" t="str">
        <f t="shared" si="25"/>
        <v/>
      </c>
    </row>
    <row r="1678" spans="1:8" ht="19.95" customHeight="1">
      <c r="A1678" s="5" t="str">
        <f>IF($G1678="","",INDEX('EDS Lookup'!$D$6:$D$2819,$G1678))</f>
        <v/>
      </c>
      <c r="B1678" s="5" t="str">
        <f>IF($G1678="","",INDEX('EDS Lookup'!$B$6:$B$2819,$G1678))</f>
        <v/>
      </c>
      <c r="C1678" s="17"/>
      <c r="D1678" s="6"/>
      <c r="E1678" s="7" t="str">
        <f>IF($G1678="","",INDEX('EDS Lookup'!$F$6:$F$2819,$G1678))</f>
        <v/>
      </c>
      <c r="F1678" s="8" t="str">
        <f>IF($G1678="","",INDEX('EDS Lookup'!$G$6:$G$2819,$G1678))</f>
        <v/>
      </c>
      <c r="G1678" t="str">
        <f>IF(1655&lt;=$B$4,IFERROR(MATCH(1655,'EDS Lookup'!$H$6:$H$2819,0),""),"")</f>
        <v/>
      </c>
      <c r="H1678" t="str">
        <f t="shared" si="25"/>
        <v/>
      </c>
    </row>
    <row r="1679" spans="1:8" ht="19.95" customHeight="1">
      <c r="A1679" s="5" t="str">
        <f>IF($G1679="","",INDEX('EDS Lookup'!$D$6:$D$2819,$G1679))</f>
        <v/>
      </c>
      <c r="B1679" s="5" t="str">
        <f>IF($G1679="","",INDEX('EDS Lookup'!$B$6:$B$2819,$G1679))</f>
        <v/>
      </c>
      <c r="C1679" s="17"/>
      <c r="D1679" s="6"/>
      <c r="E1679" s="7" t="str">
        <f>IF($G1679="","",INDEX('EDS Lookup'!$F$6:$F$2819,$G1679))</f>
        <v/>
      </c>
      <c r="F1679" s="8" t="str">
        <f>IF($G1679="","",INDEX('EDS Lookup'!$G$6:$G$2819,$G1679))</f>
        <v/>
      </c>
      <c r="G1679" t="str">
        <f>IF(1656&lt;=$B$4,IFERROR(MATCH(1656,'EDS Lookup'!$H$6:$H$2819,0),""),"")</f>
        <v/>
      </c>
      <c r="H1679" t="str">
        <f t="shared" si="25"/>
        <v/>
      </c>
    </row>
    <row r="1680" spans="1:8" ht="19.95" customHeight="1">
      <c r="A1680" s="5" t="str">
        <f>IF($G1680="","",INDEX('EDS Lookup'!$D$6:$D$2819,$G1680))</f>
        <v/>
      </c>
      <c r="B1680" s="5" t="str">
        <f>IF($G1680="","",INDEX('EDS Lookup'!$B$6:$B$2819,$G1680))</f>
        <v/>
      </c>
      <c r="C1680" s="17"/>
      <c r="D1680" s="6"/>
      <c r="E1680" s="7" t="str">
        <f>IF($G1680="","",INDEX('EDS Lookup'!$F$6:$F$2819,$G1680))</f>
        <v/>
      </c>
      <c r="F1680" s="8" t="str">
        <f>IF($G1680="","",INDEX('EDS Lookup'!$G$6:$G$2819,$G1680))</f>
        <v/>
      </c>
      <c r="G1680" t="str">
        <f>IF(1657&lt;=$B$4,IFERROR(MATCH(1657,'EDS Lookup'!$H$6:$H$2819,0),""),"")</f>
        <v/>
      </c>
      <c r="H1680" t="str">
        <f t="shared" si="25"/>
        <v/>
      </c>
    </row>
    <row r="1681" spans="1:8" ht="19.95" customHeight="1">
      <c r="A1681" s="5" t="str">
        <f>IF($G1681="","",INDEX('EDS Lookup'!$D$6:$D$2819,$G1681))</f>
        <v/>
      </c>
      <c r="B1681" s="5" t="str">
        <f>IF($G1681="","",INDEX('EDS Lookup'!$B$6:$B$2819,$G1681))</f>
        <v/>
      </c>
      <c r="C1681" s="17"/>
      <c r="D1681" s="6"/>
      <c r="E1681" s="7" t="str">
        <f>IF($G1681="","",INDEX('EDS Lookup'!$F$6:$F$2819,$G1681))</f>
        <v/>
      </c>
      <c r="F1681" s="8" t="str">
        <f>IF($G1681="","",INDEX('EDS Lookup'!$G$6:$G$2819,$G1681))</f>
        <v/>
      </c>
      <c r="G1681" t="str">
        <f>IF(1658&lt;=$B$4,IFERROR(MATCH(1658,'EDS Lookup'!$H$6:$H$2819,0),""),"")</f>
        <v/>
      </c>
      <c r="H1681" t="str">
        <f t="shared" si="25"/>
        <v/>
      </c>
    </row>
    <row r="1682" spans="1:8" ht="19.95" customHeight="1">
      <c r="A1682" s="5" t="str">
        <f>IF($G1682="","",INDEX('EDS Lookup'!$D$6:$D$2819,$G1682))</f>
        <v/>
      </c>
      <c r="B1682" s="5" t="str">
        <f>IF($G1682="","",INDEX('EDS Lookup'!$B$6:$B$2819,$G1682))</f>
        <v/>
      </c>
      <c r="C1682" s="17"/>
      <c r="D1682" s="6"/>
      <c r="E1682" s="7" t="str">
        <f>IF($G1682="","",INDEX('EDS Lookup'!$F$6:$F$2819,$G1682))</f>
        <v/>
      </c>
      <c r="F1682" s="8" t="str">
        <f>IF($G1682="","",INDEX('EDS Lookup'!$G$6:$G$2819,$G1682))</f>
        <v/>
      </c>
      <c r="G1682" t="str">
        <f>IF(1659&lt;=$B$4,IFERROR(MATCH(1659,'EDS Lookup'!$H$6:$H$2819,0),""),"")</f>
        <v/>
      </c>
      <c r="H1682" t="str">
        <f t="shared" si="25"/>
        <v/>
      </c>
    </row>
    <row r="1683" spans="1:8" ht="19.95" customHeight="1">
      <c r="A1683" s="5" t="str">
        <f>IF($G1683="","",INDEX('EDS Lookup'!$D$6:$D$2819,$G1683))</f>
        <v/>
      </c>
      <c r="B1683" s="5" t="str">
        <f>IF($G1683="","",INDEX('EDS Lookup'!$B$6:$B$2819,$G1683))</f>
        <v/>
      </c>
      <c r="C1683" s="17"/>
      <c r="D1683" s="6"/>
      <c r="E1683" s="7" t="str">
        <f>IF($G1683="","",INDEX('EDS Lookup'!$F$6:$F$2819,$G1683))</f>
        <v/>
      </c>
      <c r="F1683" s="8" t="str">
        <f>IF($G1683="","",INDEX('EDS Lookup'!$G$6:$G$2819,$G1683))</f>
        <v/>
      </c>
      <c r="G1683" t="str">
        <f>IF(1660&lt;=$B$4,IFERROR(MATCH(1660,'EDS Lookup'!$H$6:$H$2819,0),""),"")</f>
        <v/>
      </c>
      <c r="H1683" t="str">
        <f t="shared" si="25"/>
        <v/>
      </c>
    </row>
    <row r="1684" spans="1:8" ht="19.95" customHeight="1">
      <c r="A1684" s="5" t="str">
        <f>IF($G1684="","",INDEX('EDS Lookup'!$D$6:$D$2819,$G1684))</f>
        <v/>
      </c>
      <c r="B1684" s="5" t="str">
        <f>IF($G1684="","",INDEX('EDS Lookup'!$B$6:$B$2819,$G1684))</f>
        <v/>
      </c>
      <c r="C1684" s="17"/>
      <c r="D1684" s="6"/>
      <c r="E1684" s="7" t="str">
        <f>IF($G1684="","",INDEX('EDS Lookup'!$F$6:$F$2819,$G1684))</f>
        <v/>
      </c>
      <c r="F1684" s="8" t="str">
        <f>IF($G1684="","",INDEX('EDS Lookup'!$G$6:$G$2819,$G1684))</f>
        <v/>
      </c>
      <c r="G1684" t="str">
        <f>IF(1661&lt;=$B$4,IFERROR(MATCH(1661,'EDS Lookup'!$H$6:$H$2819,0),""),"")</f>
        <v/>
      </c>
      <c r="H1684" t="str">
        <f t="shared" si="25"/>
        <v/>
      </c>
    </row>
    <row r="1685" spans="1:8" ht="19.95" customHeight="1">
      <c r="A1685" s="5" t="str">
        <f>IF($G1685="","",INDEX('EDS Lookup'!$D$6:$D$2819,$G1685))</f>
        <v/>
      </c>
      <c r="B1685" s="5" t="str">
        <f>IF($G1685="","",INDEX('EDS Lookup'!$B$6:$B$2819,$G1685))</f>
        <v/>
      </c>
      <c r="C1685" s="17"/>
      <c r="D1685" s="6"/>
      <c r="E1685" s="7" t="str">
        <f>IF($G1685="","",INDEX('EDS Lookup'!$F$6:$F$2819,$G1685))</f>
        <v/>
      </c>
      <c r="F1685" s="8" t="str">
        <f>IF($G1685="","",INDEX('EDS Lookup'!$G$6:$G$2819,$G1685))</f>
        <v/>
      </c>
      <c r="G1685" t="str">
        <f>IF(1662&lt;=$B$4,IFERROR(MATCH(1662,'EDS Lookup'!$H$6:$H$2819,0),""),"")</f>
        <v/>
      </c>
      <c r="H1685" t="str">
        <f t="shared" si="25"/>
        <v/>
      </c>
    </row>
    <row r="1686" spans="1:8" ht="19.95" customHeight="1">
      <c r="A1686" s="5" t="str">
        <f>IF($G1686="","",INDEX('EDS Lookup'!$D$6:$D$2819,$G1686))</f>
        <v/>
      </c>
      <c r="B1686" s="5" t="str">
        <f>IF($G1686="","",INDEX('EDS Lookup'!$B$6:$B$2819,$G1686))</f>
        <v/>
      </c>
      <c r="C1686" s="17"/>
      <c r="D1686" s="6"/>
      <c r="E1686" s="7" t="str">
        <f>IF($G1686="","",INDEX('EDS Lookup'!$F$6:$F$2819,$G1686))</f>
        <v/>
      </c>
      <c r="F1686" s="8" t="str">
        <f>IF($G1686="","",INDEX('EDS Lookup'!$G$6:$G$2819,$G1686))</f>
        <v/>
      </c>
      <c r="G1686" t="str">
        <f>IF(1663&lt;=$B$4,IFERROR(MATCH(1663,'EDS Lookup'!$H$6:$H$2819,0),""),"")</f>
        <v/>
      </c>
      <c r="H1686" t="str">
        <f t="shared" si="25"/>
        <v/>
      </c>
    </row>
    <row r="1687" spans="1:8" ht="19.95" customHeight="1">
      <c r="A1687" s="5" t="str">
        <f>IF($G1687="","",INDEX('EDS Lookup'!$D$6:$D$2819,$G1687))</f>
        <v/>
      </c>
      <c r="B1687" s="5" t="str">
        <f>IF($G1687="","",INDEX('EDS Lookup'!$B$6:$B$2819,$G1687))</f>
        <v/>
      </c>
      <c r="C1687" s="17"/>
      <c r="D1687" s="6"/>
      <c r="E1687" s="7" t="str">
        <f>IF($G1687="","",INDEX('EDS Lookup'!$F$6:$F$2819,$G1687))</f>
        <v/>
      </c>
      <c r="F1687" s="8" t="str">
        <f>IF($G1687="","",INDEX('EDS Lookup'!$G$6:$G$2819,$G1687))</f>
        <v/>
      </c>
      <c r="G1687" t="str">
        <f>IF(1664&lt;=$B$4,IFERROR(MATCH(1664,'EDS Lookup'!$H$6:$H$2819,0),""),"")</f>
        <v/>
      </c>
      <c r="H1687" t="str">
        <f t="shared" si="25"/>
        <v/>
      </c>
    </row>
    <row r="1688" spans="1:8" ht="19.95" customHeight="1">
      <c r="A1688" s="5" t="str">
        <f>IF($G1688="","",INDEX('EDS Lookup'!$D$6:$D$2819,$G1688))</f>
        <v/>
      </c>
      <c r="B1688" s="5" t="str">
        <f>IF($G1688="","",INDEX('EDS Lookup'!$B$6:$B$2819,$G1688))</f>
        <v/>
      </c>
      <c r="C1688" s="17"/>
      <c r="D1688" s="6"/>
      <c r="E1688" s="7" t="str">
        <f>IF($G1688="","",INDEX('EDS Lookup'!$F$6:$F$2819,$G1688))</f>
        <v/>
      </c>
      <c r="F1688" s="8" t="str">
        <f>IF($G1688="","",INDEX('EDS Lookup'!$G$6:$G$2819,$G1688))</f>
        <v/>
      </c>
      <c r="G1688" t="str">
        <f>IF(1665&lt;=$B$4,IFERROR(MATCH(1665,'EDS Lookup'!$H$6:$H$2819,0),""),"")</f>
        <v/>
      </c>
      <c r="H1688" t="str">
        <f t="shared" ref="H1688:H1751" si="26">IF(F1688="&lt;5",5,IF(F1688="&gt;95",95,IF(ISNUMBER(F1688),F1688,"")))</f>
        <v/>
      </c>
    </row>
    <row r="1689" spans="1:8" ht="19.95" customHeight="1">
      <c r="A1689" s="5" t="str">
        <f>IF($G1689="","",INDEX('EDS Lookup'!$D$6:$D$2819,$G1689))</f>
        <v/>
      </c>
      <c r="B1689" s="5" t="str">
        <f>IF($G1689="","",INDEX('EDS Lookup'!$B$6:$B$2819,$G1689))</f>
        <v/>
      </c>
      <c r="C1689" s="17"/>
      <c r="D1689" s="6"/>
      <c r="E1689" s="7" t="str">
        <f>IF($G1689="","",INDEX('EDS Lookup'!$F$6:$F$2819,$G1689))</f>
        <v/>
      </c>
      <c r="F1689" s="8" t="str">
        <f>IF($G1689="","",INDEX('EDS Lookup'!$G$6:$G$2819,$G1689))</f>
        <v/>
      </c>
      <c r="G1689" t="str">
        <f>IF(1666&lt;=$B$4,IFERROR(MATCH(1666,'EDS Lookup'!$H$6:$H$2819,0),""),"")</f>
        <v/>
      </c>
      <c r="H1689" t="str">
        <f t="shared" si="26"/>
        <v/>
      </c>
    </row>
    <row r="1690" spans="1:8" ht="19.95" customHeight="1">
      <c r="A1690" s="5" t="str">
        <f>IF($G1690="","",INDEX('EDS Lookup'!$D$6:$D$2819,$G1690))</f>
        <v/>
      </c>
      <c r="B1690" s="5" t="str">
        <f>IF($G1690="","",INDEX('EDS Lookup'!$B$6:$B$2819,$G1690))</f>
        <v/>
      </c>
      <c r="C1690" s="17"/>
      <c r="D1690" s="6"/>
      <c r="E1690" s="7" t="str">
        <f>IF($G1690="","",INDEX('EDS Lookup'!$F$6:$F$2819,$G1690))</f>
        <v/>
      </c>
      <c r="F1690" s="8" t="str">
        <f>IF($G1690="","",INDEX('EDS Lookup'!$G$6:$G$2819,$G1690))</f>
        <v/>
      </c>
      <c r="G1690" t="str">
        <f>IF(1667&lt;=$B$4,IFERROR(MATCH(1667,'EDS Lookup'!$H$6:$H$2819,0),""),"")</f>
        <v/>
      </c>
      <c r="H1690" t="str">
        <f t="shared" si="26"/>
        <v/>
      </c>
    </row>
    <row r="1691" spans="1:8" ht="19.95" customHeight="1">
      <c r="A1691" s="5" t="str">
        <f>IF($G1691="","",INDEX('EDS Lookup'!$D$6:$D$2819,$G1691))</f>
        <v/>
      </c>
      <c r="B1691" s="5" t="str">
        <f>IF($G1691="","",INDEX('EDS Lookup'!$B$6:$B$2819,$G1691))</f>
        <v/>
      </c>
      <c r="C1691" s="17"/>
      <c r="D1691" s="6"/>
      <c r="E1691" s="7" t="str">
        <f>IF($G1691="","",INDEX('EDS Lookup'!$F$6:$F$2819,$G1691))</f>
        <v/>
      </c>
      <c r="F1691" s="8" t="str">
        <f>IF($G1691="","",INDEX('EDS Lookup'!$G$6:$G$2819,$G1691))</f>
        <v/>
      </c>
      <c r="G1691" t="str">
        <f>IF(1668&lt;=$B$4,IFERROR(MATCH(1668,'EDS Lookup'!$H$6:$H$2819,0),""),"")</f>
        <v/>
      </c>
      <c r="H1691" t="str">
        <f t="shared" si="26"/>
        <v/>
      </c>
    </row>
    <row r="1692" spans="1:8" ht="19.95" customHeight="1">
      <c r="A1692" s="5" t="str">
        <f>IF($G1692="","",INDEX('EDS Lookup'!$D$6:$D$2819,$G1692))</f>
        <v/>
      </c>
      <c r="B1692" s="5" t="str">
        <f>IF($G1692="","",INDEX('EDS Lookup'!$B$6:$B$2819,$G1692))</f>
        <v/>
      </c>
      <c r="C1692" s="17"/>
      <c r="D1692" s="6"/>
      <c r="E1692" s="7" t="str">
        <f>IF($G1692="","",INDEX('EDS Lookup'!$F$6:$F$2819,$G1692))</f>
        <v/>
      </c>
      <c r="F1692" s="8" t="str">
        <f>IF($G1692="","",INDEX('EDS Lookup'!$G$6:$G$2819,$G1692))</f>
        <v/>
      </c>
      <c r="G1692" t="str">
        <f>IF(1669&lt;=$B$4,IFERROR(MATCH(1669,'EDS Lookup'!$H$6:$H$2819,0),""),"")</f>
        <v/>
      </c>
      <c r="H1692" t="str">
        <f t="shared" si="26"/>
        <v/>
      </c>
    </row>
    <row r="1693" spans="1:8" ht="19.95" customHeight="1">
      <c r="A1693" s="5" t="str">
        <f>IF($G1693="","",INDEX('EDS Lookup'!$D$6:$D$2819,$G1693))</f>
        <v/>
      </c>
      <c r="B1693" s="5" t="str">
        <f>IF($G1693="","",INDEX('EDS Lookup'!$B$6:$B$2819,$G1693))</f>
        <v/>
      </c>
      <c r="C1693" s="17"/>
      <c r="D1693" s="6"/>
      <c r="E1693" s="7" t="str">
        <f>IF($G1693="","",INDEX('EDS Lookup'!$F$6:$F$2819,$G1693))</f>
        <v/>
      </c>
      <c r="F1693" s="8" t="str">
        <f>IF($G1693="","",INDEX('EDS Lookup'!$G$6:$G$2819,$G1693))</f>
        <v/>
      </c>
      <c r="G1693" t="str">
        <f>IF(1670&lt;=$B$4,IFERROR(MATCH(1670,'EDS Lookup'!$H$6:$H$2819,0),""),"")</f>
        <v/>
      </c>
      <c r="H1693" t="str">
        <f t="shared" si="26"/>
        <v/>
      </c>
    </row>
    <row r="1694" spans="1:8" ht="19.95" customHeight="1">
      <c r="A1694" s="5" t="str">
        <f>IF($G1694="","",INDEX('EDS Lookup'!$D$6:$D$2819,$G1694))</f>
        <v/>
      </c>
      <c r="B1694" s="5" t="str">
        <f>IF($G1694="","",INDEX('EDS Lookup'!$B$6:$B$2819,$G1694))</f>
        <v/>
      </c>
      <c r="C1694" s="17"/>
      <c r="D1694" s="6"/>
      <c r="E1694" s="7" t="str">
        <f>IF($G1694="","",INDEX('EDS Lookup'!$F$6:$F$2819,$G1694))</f>
        <v/>
      </c>
      <c r="F1694" s="8" t="str">
        <f>IF($G1694="","",INDEX('EDS Lookup'!$G$6:$G$2819,$G1694))</f>
        <v/>
      </c>
      <c r="G1694" t="str">
        <f>IF(1671&lt;=$B$4,IFERROR(MATCH(1671,'EDS Lookup'!$H$6:$H$2819,0),""),"")</f>
        <v/>
      </c>
      <c r="H1694" t="str">
        <f t="shared" si="26"/>
        <v/>
      </c>
    </row>
    <row r="1695" spans="1:8" ht="19.95" customHeight="1">
      <c r="A1695" s="5" t="str">
        <f>IF($G1695="","",INDEX('EDS Lookup'!$D$6:$D$2819,$G1695))</f>
        <v/>
      </c>
      <c r="B1695" s="5" t="str">
        <f>IF($G1695="","",INDEX('EDS Lookup'!$B$6:$B$2819,$G1695))</f>
        <v/>
      </c>
      <c r="C1695" s="17"/>
      <c r="D1695" s="6"/>
      <c r="E1695" s="7" t="str">
        <f>IF($G1695="","",INDEX('EDS Lookup'!$F$6:$F$2819,$G1695))</f>
        <v/>
      </c>
      <c r="F1695" s="8" t="str">
        <f>IF($G1695="","",INDEX('EDS Lookup'!$G$6:$G$2819,$G1695))</f>
        <v/>
      </c>
      <c r="G1695" t="str">
        <f>IF(1672&lt;=$B$4,IFERROR(MATCH(1672,'EDS Lookup'!$H$6:$H$2819,0),""),"")</f>
        <v/>
      </c>
      <c r="H1695" t="str">
        <f t="shared" si="26"/>
        <v/>
      </c>
    </row>
    <row r="1696" spans="1:8" ht="19.95" customHeight="1">
      <c r="A1696" s="5" t="str">
        <f>IF($G1696="","",INDEX('EDS Lookup'!$D$6:$D$2819,$G1696))</f>
        <v/>
      </c>
      <c r="B1696" s="5" t="str">
        <f>IF($G1696="","",INDEX('EDS Lookup'!$B$6:$B$2819,$G1696))</f>
        <v/>
      </c>
      <c r="C1696" s="17"/>
      <c r="D1696" s="6"/>
      <c r="E1696" s="7" t="str">
        <f>IF($G1696="","",INDEX('EDS Lookup'!$F$6:$F$2819,$G1696))</f>
        <v/>
      </c>
      <c r="F1696" s="8" t="str">
        <f>IF($G1696="","",INDEX('EDS Lookup'!$G$6:$G$2819,$G1696))</f>
        <v/>
      </c>
      <c r="G1696" t="str">
        <f>IF(1673&lt;=$B$4,IFERROR(MATCH(1673,'EDS Lookup'!$H$6:$H$2819,0),""),"")</f>
        <v/>
      </c>
      <c r="H1696" t="str">
        <f t="shared" si="26"/>
        <v/>
      </c>
    </row>
    <row r="1697" spans="1:8" ht="19.95" customHeight="1">
      <c r="A1697" s="5" t="str">
        <f>IF($G1697="","",INDEX('EDS Lookup'!$D$6:$D$2819,$G1697))</f>
        <v/>
      </c>
      <c r="B1697" s="5" t="str">
        <f>IF($G1697="","",INDEX('EDS Lookup'!$B$6:$B$2819,$G1697))</f>
        <v/>
      </c>
      <c r="C1697" s="17"/>
      <c r="D1697" s="6"/>
      <c r="E1697" s="7" t="str">
        <f>IF($G1697="","",INDEX('EDS Lookup'!$F$6:$F$2819,$G1697))</f>
        <v/>
      </c>
      <c r="F1697" s="8" t="str">
        <f>IF($G1697="","",INDEX('EDS Lookup'!$G$6:$G$2819,$G1697))</f>
        <v/>
      </c>
      <c r="G1697" t="str">
        <f>IF(1674&lt;=$B$4,IFERROR(MATCH(1674,'EDS Lookup'!$H$6:$H$2819,0),""),"")</f>
        <v/>
      </c>
      <c r="H1697" t="str">
        <f t="shared" si="26"/>
        <v/>
      </c>
    </row>
    <row r="1698" spans="1:8" ht="19.95" customHeight="1">
      <c r="A1698" s="5" t="str">
        <f>IF($G1698="","",INDEX('EDS Lookup'!$D$6:$D$2819,$G1698))</f>
        <v/>
      </c>
      <c r="B1698" s="5" t="str">
        <f>IF($G1698="","",INDEX('EDS Lookup'!$B$6:$B$2819,$G1698))</f>
        <v/>
      </c>
      <c r="C1698" s="17"/>
      <c r="D1698" s="6"/>
      <c r="E1698" s="7" t="str">
        <f>IF($G1698="","",INDEX('EDS Lookup'!$F$6:$F$2819,$G1698))</f>
        <v/>
      </c>
      <c r="F1698" s="8" t="str">
        <f>IF($G1698="","",INDEX('EDS Lookup'!$G$6:$G$2819,$G1698))</f>
        <v/>
      </c>
      <c r="G1698" t="str">
        <f>IF(1675&lt;=$B$4,IFERROR(MATCH(1675,'EDS Lookup'!$H$6:$H$2819,0),""),"")</f>
        <v/>
      </c>
      <c r="H1698" t="str">
        <f t="shared" si="26"/>
        <v/>
      </c>
    </row>
    <row r="1699" spans="1:8" ht="19.95" customHeight="1">
      <c r="A1699" s="5" t="str">
        <f>IF($G1699="","",INDEX('EDS Lookup'!$D$6:$D$2819,$G1699))</f>
        <v/>
      </c>
      <c r="B1699" s="5" t="str">
        <f>IF($G1699="","",INDEX('EDS Lookup'!$B$6:$B$2819,$G1699))</f>
        <v/>
      </c>
      <c r="C1699" s="17"/>
      <c r="D1699" s="6"/>
      <c r="E1699" s="7" t="str">
        <f>IF($G1699="","",INDEX('EDS Lookup'!$F$6:$F$2819,$G1699))</f>
        <v/>
      </c>
      <c r="F1699" s="8" t="str">
        <f>IF($G1699="","",INDEX('EDS Lookup'!$G$6:$G$2819,$G1699))</f>
        <v/>
      </c>
      <c r="G1699" t="str">
        <f>IF(1676&lt;=$B$4,IFERROR(MATCH(1676,'EDS Lookup'!$H$6:$H$2819,0),""),"")</f>
        <v/>
      </c>
      <c r="H1699" t="str">
        <f t="shared" si="26"/>
        <v/>
      </c>
    </row>
    <row r="1700" spans="1:8" ht="19.95" customHeight="1">
      <c r="A1700" s="5" t="str">
        <f>IF($G1700="","",INDEX('EDS Lookup'!$D$6:$D$2819,$G1700))</f>
        <v/>
      </c>
      <c r="B1700" s="5" t="str">
        <f>IF($G1700="","",INDEX('EDS Lookup'!$B$6:$B$2819,$G1700))</f>
        <v/>
      </c>
      <c r="C1700" s="17"/>
      <c r="D1700" s="6"/>
      <c r="E1700" s="7" t="str">
        <f>IF($G1700="","",INDEX('EDS Lookup'!$F$6:$F$2819,$G1700))</f>
        <v/>
      </c>
      <c r="F1700" s="8" t="str">
        <f>IF($G1700="","",INDEX('EDS Lookup'!$G$6:$G$2819,$G1700))</f>
        <v/>
      </c>
      <c r="G1700" t="str">
        <f>IF(1677&lt;=$B$4,IFERROR(MATCH(1677,'EDS Lookup'!$H$6:$H$2819,0),""),"")</f>
        <v/>
      </c>
      <c r="H1700" t="str">
        <f t="shared" si="26"/>
        <v/>
      </c>
    </row>
    <row r="1701" spans="1:8" ht="19.95" customHeight="1">
      <c r="A1701" s="5" t="str">
        <f>IF($G1701="","",INDEX('EDS Lookup'!$D$6:$D$2819,$G1701))</f>
        <v/>
      </c>
      <c r="B1701" s="5" t="str">
        <f>IF($G1701="","",INDEX('EDS Lookup'!$B$6:$B$2819,$G1701))</f>
        <v/>
      </c>
      <c r="C1701" s="17"/>
      <c r="D1701" s="6"/>
      <c r="E1701" s="7" t="str">
        <f>IF($G1701="","",INDEX('EDS Lookup'!$F$6:$F$2819,$G1701))</f>
        <v/>
      </c>
      <c r="F1701" s="8" t="str">
        <f>IF($G1701="","",INDEX('EDS Lookup'!$G$6:$G$2819,$G1701))</f>
        <v/>
      </c>
      <c r="G1701" t="str">
        <f>IF(1678&lt;=$B$4,IFERROR(MATCH(1678,'EDS Lookup'!$H$6:$H$2819,0),""),"")</f>
        <v/>
      </c>
      <c r="H1701" t="str">
        <f t="shared" si="26"/>
        <v/>
      </c>
    </row>
    <row r="1702" spans="1:8" ht="19.95" customHeight="1">
      <c r="A1702" s="5" t="str">
        <f>IF($G1702="","",INDEX('EDS Lookup'!$D$6:$D$2819,$G1702))</f>
        <v/>
      </c>
      <c r="B1702" s="5" t="str">
        <f>IF($G1702="","",INDEX('EDS Lookup'!$B$6:$B$2819,$G1702))</f>
        <v/>
      </c>
      <c r="C1702" s="17"/>
      <c r="D1702" s="6"/>
      <c r="E1702" s="7" t="str">
        <f>IF($G1702="","",INDEX('EDS Lookup'!$F$6:$F$2819,$G1702))</f>
        <v/>
      </c>
      <c r="F1702" s="8" t="str">
        <f>IF($G1702="","",INDEX('EDS Lookup'!$G$6:$G$2819,$G1702))</f>
        <v/>
      </c>
      <c r="G1702" t="str">
        <f>IF(1679&lt;=$B$4,IFERROR(MATCH(1679,'EDS Lookup'!$H$6:$H$2819,0),""),"")</f>
        <v/>
      </c>
      <c r="H1702" t="str">
        <f t="shared" si="26"/>
        <v/>
      </c>
    </row>
    <row r="1703" spans="1:8" ht="19.95" customHeight="1">
      <c r="A1703" s="5" t="str">
        <f>IF($G1703="","",INDEX('EDS Lookup'!$D$6:$D$2819,$G1703))</f>
        <v/>
      </c>
      <c r="B1703" s="5" t="str">
        <f>IF($G1703="","",INDEX('EDS Lookup'!$B$6:$B$2819,$G1703))</f>
        <v/>
      </c>
      <c r="C1703" s="17"/>
      <c r="D1703" s="6"/>
      <c r="E1703" s="7" t="str">
        <f>IF($G1703="","",INDEX('EDS Lookup'!$F$6:$F$2819,$G1703))</f>
        <v/>
      </c>
      <c r="F1703" s="8" t="str">
        <f>IF($G1703="","",INDEX('EDS Lookup'!$G$6:$G$2819,$G1703))</f>
        <v/>
      </c>
      <c r="G1703" t="str">
        <f>IF(1680&lt;=$B$4,IFERROR(MATCH(1680,'EDS Lookup'!$H$6:$H$2819,0),""),"")</f>
        <v/>
      </c>
      <c r="H1703" t="str">
        <f t="shared" si="26"/>
        <v/>
      </c>
    </row>
    <row r="1704" spans="1:8" ht="19.95" customHeight="1">
      <c r="A1704" s="5" t="str">
        <f>IF($G1704="","",INDEX('EDS Lookup'!$D$6:$D$2819,$G1704))</f>
        <v/>
      </c>
      <c r="B1704" s="5" t="str">
        <f>IF($G1704="","",INDEX('EDS Lookup'!$B$6:$B$2819,$G1704))</f>
        <v/>
      </c>
      <c r="C1704" s="17"/>
      <c r="D1704" s="6"/>
      <c r="E1704" s="7" t="str">
        <f>IF($G1704="","",INDEX('EDS Lookup'!$F$6:$F$2819,$G1704))</f>
        <v/>
      </c>
      <c r="F1704" s="8" t="str">
        <f>IF($G1704="","",INDEX('EDS Lookup'!$G$6:$G$2819,$G1704))</f>
        <v/>
      </c>
      <c r="G1704" t="str">
        <f>IF(1681&lt;=$B$4,IFERROR(MATCH(1681,'EDS Lookup'!$H$6:$H$2819,0),""),"")</f>
        <v/>
      </c>
      <c r="H1704" t="str">
        <f t="shared" si="26"/>
        <v/>
      </c>
    </row>
    <row r="1705" spans="1:8" ht="19.95" customHeight="1">
      <c r="A1705" s="5" t="str">
        <f>IF($G1705="","",INDEX('EDS Lookup'!$D$6:$D$2819,$G1705))</f>
        <v/>
      </c>
      <c r="B1705" s="5" t="str">
        <f>IF($G1705="","",INDEX('EDS Lookup'!$B$6:$B$2819,$G1705))</f>
        <v/>
      </c>
      <c r="C1705" s="17"/>
      <c r="D1705" s="6"/>
      <c r="E1705" s="7" t="str">
        <f>IF($G1705="","",INDEX('EDS Lookup'!$F$6:$F$2819,$G1705))</f>
        <v/>
      </c>
      <c r="F1705" s="8" t="str">
        <f>IF($G1705="","",INDEX('EDS Lookup'!$G$6:$G$2819,$G1705))</f>
        <v/>
      </c>
      <c r="G1705" t="str">
        <f>IF(1682&lt;=$B$4,IFERROR(MATCH(1682,'EDS Lookup'!$H$6:$H$2819,0),""),"")</f>
        <v/>
      </c>
      <c r="H1705" t="str">
        <f t="shared" si="26"/>
        <v/>
      </c>
    </row>
    <row r="1706" spans="1:8" ht="19.95" customHeight="1">
      <c r="A1706" s="5" t="str">
        <f>IF($G1706="","",INDEX('EDS Lookup'!$D$6:$D$2819,$G1706))</f>
        <v/>
      </c>
      <c r="B1706" s="5" t="str">
        <f>IF($G1706="","",INDEX('EDS Lookup'!$B$6:$B$2819,$G1706))</f>
        <v/>
      </c>
      <c r="C1706" s="17"/>
      <c r="D1706" s="6"/>
      <c r="E1706" s="7" t="str">
        <f>IF($G1706="","",INDEX('EDS Lookup'!$F$6:$F$2819,$G1706))</f>
        <v/>
      </c>
      <c r="F1706" s="8" t="str">
        <f>IF($G1706="","",INDEX('EDS Lookup'!$G$6:$G$2819,$G1706))</f>
        <v/>
      </c>
      <c r="G1706" t="str">
        <f>IF(1683&lt;=$B$4,IFERROR(MATCH(1683,'EDS Lookup'!$H$6:$H$2819,0),""),"")</f>
        <v/>
      </c>
      <c r="H1706" t="str">
        <f t="shared" si="26"/>
        <v/>
      </c>
    </row>
    <row r="1707" spans="1:8" ht="19.95" customHeight="1">
      <c r="A1707" s="5" t="str">
        <f>IF($G1707="","",INDEX('EDS Lookup'!$D$6:$D$2819,$G1707))</f>
        <v/>
      </c>
      <c r="B1707" s="5" t="str">
        <f>IF($G1707="","",INDEX('EDS Lookup'!$B$6:$B$2819,$G1707))</f>
        <v/>
      </c>
      <c r="C1707" s="17"/>
      <c r="D1707" s="6"/>
      <c r="E1707" s="7" t="str">
        <f>IF($G1707="","",INDEX('EDS Lookup'!$F$6:$F$2819,$G1707))</f>
        <v/>
      </c>
      <c r="F1707" s="8" t="str">
        <f>IF($G1707="","",INDEX('EDS Lookup'!$G$6:$G$2819,$G1707))</f>
        <v/>
      </c>
      <c r="G1707" t="str">
        <f>IF(1684&lt;=$B$4,IFERROR(MATCH(1684,'EDS Lookup'!$H$6:$H$2819,0),""),"")</f>
        <v/>
      </c>
      <c r="H1707" t="str">
        <f t="shared" si="26"/>
        <v/>
      </c>
    </row>
    <row r="1708" spans="1:8" ht="19.95" customHeight="1">
      <c r="A1708" s="5" t="str">
        <f>IF($G1708="","",INDEX('EDS Lookup'!$D$6:$D$2819,$G1708))</f>
        <v/>
      </c>
      <c r="B1708" s="5" t="str">
        <f>IF($G1708="","",INDEX('EDS Lookup'!$B$6:$B$2819,$G1708))</f>
        <v/>
      </c>
      <c r="C1708" s="17"/>
      <c r="D1708" s="6"/>
      <c r="E1708" s="7" t="str">
        <f>IF($G1708="","",INDEX('EDS Lookup'!$F$6:$F$2819,$G1708))</f>
        <v/>
      </c>
      <c r="F1708" s="8" t="str">
        <f>IF($G1708="","",INDEX('EDS Lookup'!$G$6:$G$2819,$G1708))</f>
        <v/>
      </c>
      <c r="G1708" t="str">
        <f>IF(1685&lt;=$B$4,IFERROR(MATCH(1685,'EDS Lookup'!$H$6:$H$2819,0),""),"")</f>
        <v/>
      </c>
      <c r="H1708" t="str">
        <f t="shared" si="26"/>
        <v/>
      </c>
    </row>
    <row r="1709" spans="1:8" ht="19.95" customHeight="1">
      <c r="A1709" s="5" t="str">
        <f>IF($G1709="","",INDEX('EDS Lookup'!$D$6:$D$2819,$G1709))</f>
        <v/>
      </c>
      <c r="B1709" s="5" t="str">
        <f>IF($G1709="","",INDEX('EDS Lookup'!$B$6:$B$2819,$G1709))</f>
        <v/>
      </c>
      <c r="C1709" s="17"/>
      <c r="D1709" s="6"/>
      <c r="E1709" s="7" t="str">
        <f>IF($G1709="","",INDEX('EDS Lookup'!$F$6:$F$2819,$G1709))</f>
        <v/>
      </c>
      <c r="F1709" s="8" t="str">
        <f>IF($G1709="","",INDEX('EDS Lookup'!$G$6:$G$2819,$G1709))</f>
        <v/>
      </c>
      <c r="G1709" t="str">
        <f>IF(1686&lt;=$B$4,IFERROR(MATCH(1686,'EDS Lookup'!$H$6:$H$2819,0),""),"")</f>
        <v/>
      </c>
      <c r="H1709" t="str">
        <f t="shared" si="26"/>
        <v/>
      </c>
    </row>
    <row r="1710" spans="1:8" ht="19.95" customHeight="1">
      <c r="A1710" s="5" t="str">
        <f>IF($G1710="","",INDEX('EDS Lookup'!$D$6:$D$2819,$G1710))</f>
        <v/>
      </c>
      <c r="B1710" s="5" t="str">
        <f>IF($G1710="","",INDEX('EDS Lookup'!$B$6:$B$2819,$G1710))</f>
        <v/>
      </c>
      <c r="C1710" s="17"/>
      <c r="D1710" s="6"/>
      <c r="E1710" s="7" t="str">
        <f>IF($G1710="","",INDEX('EDS Lookup'!$F$6:$F$2819,$G1710))</f>
        <v/>
      </c>
      <c r="F1710" s="8" t="str">
        <f>IF($G1710="","",INDEX('EDS Lookup'!$G$6:$G$2819,$G1710))</f>
        <v/>
      </c>
      <c r="G1710" t="str">
        <f>IF(1687&lt;=$B$4,IFERROR(MATCH(1687,'EDS Lookup'!$H$6:$H$2819,0),""),"")</f>
        <v/>
      </c>
      <c r="H1710" t="str">
        <f t="shared" si="26"/>
        <v/>
      </c>
    </row>
    <row r="1711" spans="1:8" ht="19.95" customHeight="1">
      <c r="A1711" s="5" t="str">
        <f>IF($G1711="","",INDEX('EDS Lookup'!$D$6:$D$2819,$G1711))</f>
        <v/>
      </c>
      <c r="B1711" s="5" t="str">
        <f>IF($G1711="","",INDEX('EDS Lookup'!$B$6:$B$2819,$G1711))</f>
        <v/>
      </c>
      <c r="C1711" s="17"/>
      <c r="D1711" s="6"/>
      <c r="E1711" s="7" t="str">
        <f>IF($G1711="","",INDEX('EDS Lookup'!$F$6:$F$2819,$G1711))</f>
        <v/>
      </c>
      <c r="F1711" s="8" t="str">
        <f>IF($G1711="","",INDEX('EDS Lookup'!$G$6:$G$2819,$G1711))</f>
        <v/>
      </c>
      <c r="G1711" t="str">
        <f>IF(1688&lt;=$B$4,IFERROR(MATCH(1688,'EDS Lookup'!$H$6:$H$2819,0),""),"")</f>
        <v/>
      </c>
      <c r="H1711" t="str">
        <f t="shared" si="26"/>
        <v/>
      </c>
    </row>
    <row r="1712" spans="1:8" ht="19.95" customHeight="1">
      <c r="A1712" s="5" t="str">
        <f>IF($G1712="","",INDEX('EDS Lookup'!$D$6:$D$2819,$G1712))</f>
        <v/>
      </c>
      <c r="B1712" s="5" t="str">
        <f>IF($G1712="","",INDEX('EDS Lookup'!$B$6:$B$2819,$G1712))</f>
        <v/>
      </c>
      <c r="C1712" s="17"/>
      <c r="D1712" s="6"/>
      <c r="E1712" s="7" t="str">
        <f>IF($G1712="","",INDEX('EDS Lookup'!$F$6:$F$2819,$G1712))</f>
        <v/>
      </c>
      <c r="F1712" s="8" t="str">
        <f>IF($G1712="","",INDEX('EDS Lookup'!$G$6:$G$2819,$G1712))</f>
        <v/>
      </c>
      <c r="G1712" t="str">
        <f>IF(1689&lt;=$B$4,IFERROR(MATCH(1689,'EDS Lookup'!$H$6:$H$2819,0),""),"")</f>
        <v/>
      </c>
      <c r="H1712" t="str">
        <f t="shared" si="26"/>
        <v/>
      </c>
    </row>
    <row r="1713" spans="1:8" ht="19.95" customHeight="1">
      <c r="A1713" s="5" t="str">
        <f>IF($G1713="","",INDEX('EDS Lookup'!$D$6:$D$2819,$G1713))</f>
        <v/>
      </c>
      <c r="B1713" s="5" t="str">
        <f>IF($G1713="","",INDEX('EDS Lookup'!$B$6:$B$2819,$G1713))</f>
        <v/>
      </c>
      <c r="C1713" s="17"/>
      <c r="D1713" s="6"/>
      <c r="E1713" s="7" t="str">
        <f>IF($G1713="","",INDEX('EDS Lookup'!$F$6:$F$2819,$G1713))</f>
        <v/>
      </c>
      <c r="F1713" s="8" t="str">
        <f>IF($G1713="","",INDEX('EDS Lookup'!$G$6:$G$2819,$G1713))</f>
        <v/>
      </c>
      <c r="G1713" t="str">
        <f>IF(1690&lt;=$B$4,IFERROR(MATCH(1690,'EDS Lookup'!$H$6:$H$2819,0),""),"")</f>
        <v/>
      </c>
      <c r="H1713" t="str">
        <f t="shared" si="26"/>
        <v/>
      </c>
    </row>
    <row r="1714" spans="1:8" ht="19.95" customHeight="1">
      <c r="A1714" s="5" t="str">
        <f>IF($G1714="","",INDEX('EDS Lookup'!$D$6:$D$2819,$G1714))</f>
        <v/>
      </c>
      <c r="B1714" s="5" t="str">
        <f>IF($G1714="","",INDEX('EDS Lookup'!$B$6:$B$2819,$G1714))</f>
        <v/>
      </c>
      <c r="C1714" s="17"/>
      <c r="D1714" s="6"/>
      <c r="E1714" s="7" t="str">
        <f>IF($G1714="","",INDEX('EDS Lookup'!$F$6:$F$2819,$G1714))</f>
        <v/>
      </c>
      <c r="F1714" s="8" t="str">
        <f>IF($G1714="","",INDEX('EDS Lookup'!$G$6:$G$2819,$G1714))</f>
        <v/>
      </c>
      <c r="G1714" t="str">
        <f>IF(1691&lt;=$B$4,IFERROR(MATCH(1691,'EDS Lookup'!$H$6:$H$2819,0),""),"")</f>
        <v/>
      </c>
      <c r="H1714" t="str">
        <f t="shared" si="26"/>
        <v/>
      </c>
    </row>
    <row r="1715" spans="1:8" ht="19.95" customHeight="1">
      <c r="A1715" s="5" t="str">
        <f>IF($G1715="","",INDEX('EDS Lookup'!$D$6:$D$2819,$G1715))</f>
        <v/>
      </c>
      <c r="B1715" s="5" t="str">
        <f>IF($G1715="","",INDEX('EDS Lookup'!$B$6:$B$2819,$G1715))</f>
        <v/>
      </c>
      <c r="C1715" s="17"/>
      <c r="D1715" s="6"/>
      <c r="E1715" s="7" t="str">
        <f>IF($G1715="","",INDEX('EDS Lookup'!$F$6:$F$2819,$G1715))</f>
        <v/>
      </c>
      <c r="F1715" s="8" t="str">
        <f>IF($G1715="","",INDEX('EDS Lookup'!$G$6:$G$2819,$G1715))</f>
        <v/>
      </c>
      <c r="G1715" t="str">
        <f>IF(1692&lt;=$B$4,IFERROR(MATCH(1692,'EDS Lookup'!$H$6:$H$2819,0),""),"")</f>
        <v/>
      </c>
      <c r="H1715" t="str">
        <f t="shared" si="26"/>
        <v/>
      </c>
    </row>
    <row r="1716" spans="1:8" ht="19.95" customHeight="1">
      <c r="A1716" s="5" t="str">
        <f>IF($G1716="","",INDEX('EDS Lookup'!$D$6:$D$2819,$G1716))</f>
        <v/>
      </c>
      <c r="B1716" s="5" t="str">
        <f>IF($G1716="","",INDEX('EDS Lookup'!$B$6:$B$2819,$G1716))</f>
        <v/>
      </c>
      <c r="C1716" s="17"/>
      <c r="D1716" s="6"/>
      <c r="E1716" s="7" t="str">
        <f>IF($G1716="","",INDEX('EDS Lookup'!$F$6:$F$2819,$G1716))</f>
        <v/>
      </c>
      <c r="F1716" s="8" t="str">
        <f>IF($G1716="","",INDEX('EDS Lookup'!$G$6:$G$2819,$G1716))</f>
        <v/>
      </c>
      <c r="G1716" t="str">
        <f>IF(1693&lt;=$B$4,IFERROR(MATCH(1693,'EDS Lookup'!$H$6:$H$2819,0),""),"")</f>
        <v/>
      </c>
      <c r="H1716" t="str">
        <f t="shared" si="26"/>
        <v/>
      </c>
    </row>
    <row r="1717" spans="1:8" ht="19.95" customHeight="1">
      <c r="A1717" s="5" t="str">
        <f>IF($G1717="","",INDEX('EDS Lookup'!$D$6:$D$2819,$G1717))</f>
        <v/>
      </c>
      <c r="B1717" s="5" t="str">
        <f>IF($G1717="","",INDEX('EDS Lookup'!$B$6:$B$2819,$G1717))</f>
        <v/>
      </c>
      <c r="C1717" s="17"/>
      <c r="D1717" s="6"/>
      <c r="E1717" s="7" t="str">
        <f>IF($G1717="","",INDEX('EDS Lookup'!$F$6:$F$2819,$G1717))</f>
        <v/>
      </c>
      <c r="F1717" s="8" t="str">
        <f>IF($G1717="","",INDEX('EDS Lookup'!$G$6:$G$2819,$G1717))</f>
        <v/>
      </c>
      <c r="G1717" t="str">
        <f>IF(1694&lt;=$B$4,IFERROR(MATCH(1694,'EDS Lookup'!$H$6:$H$2819,0),""),"")</f>
        <v/>
      </c>
      <c r="H1717" t="str">
        <f t="shared" si="26"/>
        <v/>
      </c>
    </row>
    <row r="1718" spans="1:8" ht="19.95" customHeight="1">
      <c r="A1718" s="5" t="str">
        <f>IF($G1718="","",INDEX('EDS Lookup'!$D$6:$D$2819,$G1718))</f>
        <v/>
      </c>
      <c r="B1718" s="5" t="str">
        <f>IF($G1718="","",INDEX('EDS Lookup'!$B$6:$B$2819,$G1718))</f>
        <v/>
      </c>
      <c r="C1718" s="17"/>
      <c r="D1718" s="6"/>
      <c r="E1718" s="7" t="str">
        <f>IF($G1718="","",INDEX('EDS Lookup'!$F$6:$F$2819,$G1718))</f>
        <v/>
      </c>
      <c r="F1718" s="8" t="str">
        <f>IF($G1718="","",INDEX('EDS Lookup'!$G$6:$G$2819,$G1718))</f>
        <v/>
      </c>
      <c r="G1718" t="str">
        <f>IF(1695&lt;=$B$4,IFERROR(MATCH(1695,'EDS Lookup'!$H$6:$H$2819,0),""),"")</f>
        <v/>
      </c>
      <c r="H1718" t="str">
        <f t="shared" si="26"/>
        <v/>
      </c>
    </row>
    <row r="1719" spans="1:8" ht="19.95" customHeight="1">
      <c r="A1719" s="5" t="str">
        <f>IF($G1719="","",INDEX('EDS Lookup'!$D$6:$D$2819,$G1719))</f>
        <v/>
      </c>
      <c r="B1719" s="5" t="str">
        <f>IF($G1719="","",INDEX('EDS Lookup'!$B$6:$B$2819,$G1719))</f>
        <v/>
      </c>
      <c r="C1719" s="17"/>
      <c r="D1719" s="6"/>
      <c r="E1719" s="7" t="str">
        <f>IF($G1719="","",INDEX('EDS Lookup'!$F$6:$F$2819,$G1719))</f>
        <v/>
      </c>
      <c r="F1719" s="8" t="str">
        <f>IF($G1719="","",INDEX('EDS Lookup'!$G$6:$G$2819,$G1719))</f>
        <v/>
      </c>
      <c r="G1719" t="str">
        <f>IF(1696&lt;=$B$4,IFERROR(MATCH(1696,'EDS Lookup'!$H$6:$H$2819,0),""),"")</f>
        <v/>
      </c>
      <c r="H1719" t="str">
        <f t="shared" si="26"/>
        <v/>
      </c>
    </row>
    <row r="1720" spans="1:8" ht="19.95" customHeight="1">
      <c r="A1720" s="5" t="str">
        <f>IF($G1720="","",INDEX('EDS Lookup'!$D$6:$D$2819,$G1720))</f>
        <v/>
      </c>
      <c r="B1720" s="5" t="str">
        <f>IF($G1720="","",INDEX('EDS Lookup'!$B$6:$B$2819,$G1720))</f>
        <v/>
      </c>
      <c r="C1720" s="17"/>
      <c r="D1720" s="6"/>
      <c r="E1720" s="7" t="str">
        <f>IF($G1720="","",INDEX('EDS Lookup'!$F$6:$F$2819,$G1720))</f>
        <v/>
      </c>
      <c r="F1720" s="8" t="str">
        <f>IF($G1720="","",INDEX('EDS Lookup'!$G$6:$G$2819,$G1720))</f>
        <v/>
      </c>
      <c r="G1720" t="str">
        <f>IF(1697&lt;=$B$4,IFERROR(MATCH(1697,'EDS Lookup'!$H$6:$H$2819,0),""),"")</f>
        <v/>
      </c>
      <c r="H1720" t="str">
        <f t="shared" si="26"/>
        <v/>
      </c>
    </row>
    <row r="1721" spans="1:8" ht="19.95" customHeight="1">
      <c r="A1721" s="5" t="str">
        <f>IF($G1721="","",INDEX('EDS Lookup'!$D$6:$D$2819,$G1721))</f>
        <v/>
      </c>
      <c r="B1721" s="5" t="str">
        <f>IF($G1721="","",INDEX('EDS Lookup'!$B$6:$B$2819,$G1721))</f>
        <v/>
      </c>
      <c r="C1721" s="17"/>
      <c r="D1721" s="6"/>
      <c r="E1721" s="7" t="str">
        <f>IF($G1721="","",INDEX('EDS Lookup'!$F$6:$F$2819,$G1721))</f>
        <v/>
      </c>
      <c r="F1721" s="8" t="str">
        <f>IF($G1721="","",INDEX('EDS Lookup'!$G$6:$G$2819,$G1721))</f>
        <v/>
      </c>
      <c r="G1721" t="str">
        <f>IF(1698&lt;=$B$4,IFERROR(MATCH(1698,'EDS Lookup'!$H$6:$H$2819,0),""),"")</f>
        <v/>
      </c>
      <c r="H1721" t="str">
        <f t="shared" si="26"/>
        <v/>
      </c>
    </row>
    <row r="1722" spans="1:8" ht="19.95" customHeight="1">
      <c r="A1722" s="5" t="str">
        <f>IF($G1722="","",INDEX('EDS Lookup'!$D$6:$D$2819,$G1722))</f>
        <v/>
      </c>
      <c r="B1722" s="5" t="str">
        <f>IF($G1722="","",INDEX('EDS Lookup'!$B$6:$B$2819,$G1722))</f>
        <v/>
      </c>
      <c r="C1722" s="17"/>
      <c r="D1722" s="6"/>
      <c r="E1722" s="7" t="str">
        <f>IF($G1722="","",INDEX('EDS Lookup'!$F$6:$F$2819,$G1722))</f>
        <v/>
      </c>
      <c r="F1722" s="8" t="str">
        <f>IF($G1722="","",INDEX('EDS Lookup'!$G$6:$G$2819,$G1722))</f>
        <v/>
      </c>
      <c r="G1722" t="str">
        <f>IF(1699&lt;=$B$4,IFERROR(MATCH(1699,'EDS Lookup'!$H$6:$H$2819,0),""),"")</f>
        <v/>
      </c>
      <c r="H1722" t="str">
        <f t="shared" si="26"/>
        <v/>
      </c>
    </row>
    <row r="1723" spans="1:8" ht="19.95" customHeight="1">
      <c r="A1723" s="5" t="str">
        <f>IF($G1723="","",INDEX('EDS Lookup'!$D$6:$D$2819,$G1723))</f>
        <v/>
      </c>
      <c r="B1723" s="5" t="str">
        <f>IF($G1723="","",INDEX('EDS Lookup'!$B$6:$B$2819,$G1723))</f>
        <v/>
      </c>
      <c r="C1723" s="17"/>
      <c r="D1723" s="6"/>
      <c r="E1723" s="7" t="str">
        <f>IF($G1723="","",INDEX('EDS Lookup'!$F$6:$F$2819,$G1723))</f>
        <v/>
      </c>
      <c r="F1723" s="8" t="str">
        <f>IF($G1723="","",INDEX('EDS Lookup'!$G$6:$G$2819,$G1723))</f>
        <v/>
      </c>
      <c r="G1723" t="str">
        <f>IF(1700&lt;=$B$4,IFERROR(MATCH(1700,'EDS Lookup'!$H$6:$H$2819,0),""),"")</f>
        <v/>
      </c>
      <c r="H1723" t="str">
        <f t="shared" si="26"/>
        <v/>
      </c>
    </row>
    <row r="1724" spans="1:8" ht="19.95" customHeight="1">
      <c r="A1724" s="5" t="str">
        <f>IF($G1724="","",INDEX('EDS Lookup'!$D$6:$D$2819,$G1724))</f>
        <v/>
      </c>
      <c r="B1724" s="5" t="str">
        <f>IF($G1724="","",INDEX('EDS Lookup'!$B$6:$B$2819,$G1724))</f>
        <v/>
      </c>
      <c r="C1724" s="17"/>
      <c r="D1724" s="6"/>
      <c r="E1724" s="7" t="str">
        <f>IF($G1724="","",INDEX('EDS Lookup'!$F$6:$F$2819,$G1724))</f>
        <v/>
      </c>
      <c r="F1724" s="8" t="str">
        <f>IF($G1724="","",INDEX('EDS Lookup'!$G$6:$G$2819,$G1724))</f>
        <v/>
      </c>
      <c r="G1724" t="str">
        <f>IF(1701&lt;=$B$4,IFERROR(MATCH(1701,'EDS Lookup'!$H$6:$H$2819,0),""),"")</f>
        <v/>
      </c>
      <c r="H1724" t="str">
        <f t="shared" si="26"/>
        <v/>
      </c>
    </row>
    <row r="1725" spans="1:8" ht="19.95" customHeight="1">
      <c r="A1725" s="5" t="str">
        <f>IF($G1725="","",INDEX('EDS Lookup'!$D$6:$D$2819,$G1725))</f>
        <v/>
      </c>
      <c r="B1725" s="5" t="str">
        <f>IF($G1725="","",INDEX('EDS Lookup'!$B$6:$B$2819,$G1725))</f>
        <v/>
      </c>
      <c r="C1725" s="17"/>
      <c r="D1725" s="6"/>
      <c r="E1725" s="7" t="str">
        <f>IF($G1725="","",INDEX('EDS Lookup'!$F$6:$F$2819,$G1725))</f>
        <v/>
      </c>
      <c r="F1725" s="8" t="str">
        <f>IF($G1725="","",INDEX('EDS Lookup'!$G$6:$G$2819,$G1725))</f>
        <v/>
      </c>
      <c r="G1725" t="str">
        <f>IF(1702&lt;=$B$4,IFERROR(MATCH(1702,'EDS Lookup'!$H$6:$H$2819,0),""),"")</f>
        <v/>
      </c>
      <c r="H1725" t="str">
        <f t="shared" si="26"/>
        <v/>
      </c>
    </row>
    <row r="1726" spans="1:8" ht="19.95" customHeight="1">
      <c r="A1726" s="5" t="str">
        <f>IF($G1726="","",INDEX('EDS Lookup'!$D$6:$D$2819,$G1726))</f>
        <v/>
      </c>
      <c r="B1726" s="5" t="str">
        <f>IF($G1726="","",INDEX('EDS Lookup'!$B$6:$B$2819,$G1726))</f>
        <v/>
      </c>
      <c r="C1726" s="17"/>
      <c r="D1726" s="6"/>
      <c r="E1726" s="7" t="str">
        <f>IF($G1726="","",INDEX('EDS Lookup'!$F$6:$F$2819,$G1726))</f>
        <v/>
      </c>
      <c r="F1726" s="8" t="str">
        <f>IF($G1726="","",INDEX('EDS Lookup'!$G$6:$G$2819,$G1726))</f>
        <v/>
      </c>
      <c r="G1726" t="str">
        <f>IF(1703&lt;=$B$4,IFERROR(MATCH(1703,'EDS Lookup'!$H$6:$H$2819,0),""),"")</f>
        <v/>
      </c>
      <c r="H1726" t="str">
        <f t="shared" si="26"/>
        <v/>
      </c>
    </row>
    <row r="1727" spans="1:8" ht="19.95" customHeight="1">
      <c r="A1727" s="5" t="str">
        <f>IF($G1727="","",INDEX('EDS Lookup'!$D$6:$D$2819,$G1727))</f>
        <v/>
      </c>
      <c r="B1727" s="5" t="str">
        <f>IF($G1727="","",INDEX('EDS Lookup'!$B$6:$B$2819,$G1727))</f>
        <v/>
      </c>
      <c r="C1727" s="17"/>
      <c r="D1727" s="6"/>
      <c r="E1727" s="7" t="str">
        <f>IF($G1727="","",INDEX('EDS Lookup'!$F$6:$F$2819,$G1727))</f>
        <v/>
      </c>
      <c r="F1727" s="8" t="str">
        <f>IF($G1727="","",INDEX('EDS Lookup'!$G$6:$G$2819,$G1727))</f>
        <v/>
      </c>
      <c r="G1727" t="str">
        <f>IF(1704&lt;=$B$4,IFERROR(MATCH(1704,'EDS Lookup'!$H$6:$H$2819,0),""),"")</f>
        <v/>
      </c>
      <c r="H1727" t="str">
        <f t="shared" si="26"/>
        <v/>
      </c>
    </row>
    <row r="1728" spans="1:8" ht="19.95" customHeight="1">
      <c r="A1728" s="5" t="str">
        <f>IF($G1728="","",INDEX('EDS Lookup'!$D$6:$D$2819,$G1728))</f>
        <v/>
      </c>
      <c r="B1728" s="5" t="str">
        <f>IF($G1728="","",INDEX('EDS Lookup'!$B$6:$B$2819,$G1728))</f>
        <v/>
      </c>
      <c r="C1728" s="17"/>
      <c r="D1728" s="6"/>
      <c r="E1728" s="7" t="str">
        <f>IF($G1728="","",INDEX('EDS Lookup'!$F$6:$F$2819,$G1728))</f>
        <v/>
      </c>
      <c r="F1728" s="8" t="str">
        <f>IF($G1728="","",INDEX('EDS Lookup'!$G$6:$G$2819,$G1728))</f>
        <v/>
      </c>
      <c r="G1728" t="str">
        <f>IF(1705&lt;=$B$4,IFERROR(MATCH(1705,'EDS Lookup'!$H$6:$H$2819,0),""),"")</f>
        <v/>
      </c>
      <c r="H1728" t="str">
        <f t="shared" si="26"/>
        <v/>
      </c>
    </row>
    <row r="1729" spans="1:8" ht="19.95" customHeight="1">
      <c r="A1729" s="5" t="str">
        <f>IF($G1729="","",INDEX('EDS Lookup'!$D$6:$D$2819,$G1729))</f>
        <v/>
      </c>
      <c r="B1729" s="5" t="str">
        <f>IF($G1729="","",INDEX('EDS Lookup'!$B$6:$B$2819,$G1729))</f>
        <v/>
      </c>
      <c r="C1729" s="17"/>
      <c r="D1729" s="6"/>
      <c r="E1729" s="7" t="str">
        <f>IF($G1729="","",INDEX('EDS Lookup'!$F$6:$F$2819,$G1729))</f>
        <v/>
      </c>
      <c r="F1729" s="8" t="str">
        <f>IF($G1729="","",INDEX('EDS Lookup'!$G$6:$G$2819,$G1729))</f>
        <v/>
      </c>
      <c r="G1729" t="str">
        <f>IF(1706&lt;=$B$4,IFERROR(MATCH(1706,'EDS Lookup'!$H$6:$H$2819,0),""),"")</f>
        <v/>
      </c>
      <c r="H1729" t="str">
        <f t="shared" si="26"/>
        <v/>
      </c>
    </row>
    <row r="1730" spans="1:8" ht="19.95" customHeight="1">
      <c r="A1730" s="5" t="str">
        <f>IF($G1730="","",INDEX('EDS Lookup'!$D$6:$D$2819,$G1730))</f>
        <v/>
      </c>
      <c r="B1730" s="5" t="str">
        <f>IF($G1730="","",INDEX('EDS Lookup'!$B$6:$B$2819,$G1730))</f>
        <v/>
      </c>
      <c r="C1730" s="17"/>
      <c r="D1730" s="6"/>
      <c r="E1730" s="7" t="str">
        <f>IF($G1730="","",INDEX('EDS Lookup'!$F$6:$F$2819,$G1730))</f>
        <v/>
      </c>
      <c r="F1730" s="8" t="str">
        <f>IF($G1730="","",INDEX('EDS Lookup'!$G$6:$G$2819,$G1730))</f>
        <v/>
      </c>
      <c r="G1730" t="str">
        <f>IF(1707&lt;=$B$4,IFERROR(MATCH(1707,'EDS Lookup'!$H$6:$H$2819,0),""),"")</f>
        <v/>
      </c>
      <c r="H1730" t="str">
        <f t="shared" si="26"/>
        <v/>
      </c>
    </row>
    <row r="1731" spans="1:8" ht="19.95" customHeight="1">
      <c r="A1731" s="5" t="str">
        <f>IF($G1731="","",INDEX('EDS Lookup'!$D$6:$D$2819,$G1731))</f>
        <v/>
      </c>
      <c r="B1731" s="5" t="str">
        <f>IF($G1731="","",INDEX('EDS Lookup'!$B$6:$B$2819,$G1731))</f>
        <v/>
      </c>
      <c r="C1731" s="17"/>
      <c r="D1731" s="6"/>
      <c r="E1731" s="7" t="str">
        <f>IF($G1731="","",INDEX('EDS Lookup'!$F$6:$F$2819,$G1731))</f>
        <v/>
      </c>
      <c r="F1731" s="8" t="str">
        <f>IF($G1731="","",INDEX('EDS Lookup'!$G$6:$G$2819,$G1731))</f>
        <v/>
      </c>
      <c r="G1731" t="str">
        <f>IF(1708&lt;=$B$4,IFERROR(MATCH(1708,'EDS Lookup'!$H$6:$H$2819,0),""),"")</f>
        <v/>
      </c>
      <c r="H1731" t="str">
        <f t="shared" si="26"/>
        <v/>
      </c>
    </row>
    <row r="1732" spans="1:8" ht="19.95" customHeight="1">
      <c r="A1732" s="5" t="str">
        <f>IF($G1732="","",INDEX('EDS Lookup'!$D$6:$D$2819,$G1732))</f>
        <v/>
      </c>
      <c r="B1732" s="5" t="str">
        <f>IF($G1732="","",INDEX('EDS Lookup'!$B$6:$B$2819,$G1732))</f>
        <v/>
      </c>
      <c r="C1732" s="17"/>
      <c r="D1732" s="6"/>
      <c r="E1732" s="7" t="str">
        <f>IF($G1732="","",INDEX('EDS Lookup'!$F$6:$F$2819,$G1732))</f>
        <v/>
      </c>
      <c r="F1732" s="8" t="str">
        <f>IF($G1732="","",INDEX('EDS Lookup'!$G$6:$G$2819,$G1732))</f>
        <v/>
      </c>
      <c r="G1732" t="str">
        <f>IF(1709&lt;=$B$4,IFERROR(MATCH(1709,'EDS Lookup'!$H$6:$H$2819,0),""),"")</f>
        <v/>
      </c>
      <c r="H1732" t="str">
        <f t="shared" si="26"/>
        <v/>
      </c>
    </row>
    <row r="1733" spans="1:8" ht="19.95" customHeight="1">
      <c r="A1733" s="5" t="str">
        <f>IF($G1733="","",INDEX('EDS Lookup'!$D$6:$D$2819,$G1733))</f>
        <v/>
      </c>
      <c r="B1733" s="5" t="str">
        <f>IF($G1733="","",INDEX('EDS Lookup'!$B$6:$B$2819,$G1733))</f>
        <v/>
      </c>
      <c r="C1733" s="17"/>
      <c r="D1733" s="6"/>
      <c r="E1733" s="7" t="str">
        <f>IF($G1733="","",INDEX('EDS Lookup'!$F$6:$F$2819,$G1733))</f>
        <v/>
      </c>
      <c r="F1733" s="8" t="str">
        <f>IF($G1733="","",INDEX('EDS Lookup'!$G$6:$G$2819,$G1733))</f>
        <v/>
      </c>
      <c r="G1733" t="str">
        <f>IF(1710&lt;=$B$4,IFERROR(MATCH(1710,'EDS Lookup'!$H$6:$H$2819,0),""),"")</f>
        <v/>
      </c>
      <c r="H1733" t="str">
        <f t="shared" si="26"/>
        <v/>
      </c>
    </row>
    <row r="1734" spans="1:8" ht="19.95" customHeight="1">
      <c r="A1734" s="5" t="str">
        <f>IF($G1734="","",INDEX('EDS Lookup'!$D$6:$D$2819,$G1734))</f>
        <v/>
      </c>
      <c r="B1734" s="5" t="str">
        <f>IF($G1734="","",INDEX('EDS Lookup'!$B$6:$B$2819,$G1734))</f>
        <v/>
      </c>
      <c r="C1734" s="17"/>
      <c r="D1734" s="6"/>
      <c r="E1734" s="7" t="str">
        <f>IF($G1734="","",INDEX('EDS Lookup'!$F$6:$F$2819,$G1734))</f>
        <v/>
      </c>
      <c r="F1734" s="8" t="str">
        <f>IF($G1734="","",INDEX('EDS Lookup'!$G$6:$G$2819,$G1734))</f>
        <v/>
      </c>
      <c r="G1734" t="str">
        <f>IF(1711&lt;=$B$4,IFERROR(MATCH(1711,'EDS Lookup'!$H$6:$H$2819,0),""),"")</f>
        <v/>
      </c>
      <c r="H1734" t="str">
        <f t="shared" si="26"/>
        <v/>
      </c>
    </row>
    <row r="1735" spans="1:8" ht="19.95" customHeight="1">
      <c r="A1735" s="5" t="str">
        <f>IF($G1735="","",INDEX('EDS Lookup'!$D$6:$D$2819,$G1735))</f>
        <v/>
      </c>
      <c r="B1735" s="5" t="str">
        <f>IF($G1735="","",INDEX('EDS Lookup'!$B$6:$B$2819,$G1735))</f>
        <v/>
      </c>
      <c r="C1735" s="17"/>
      <c r="D1735" s="6"/>
      <c r="E1735" s="7" t="str">
        <f>IF($G1735="","",INDEX('EDS Lookup'!$F$6:$F$2819,$G1735))</f>
        <v/>
      </c>
      <c r="F1735" s="8" t="str">
        <f>IF($G1735="","",INDEX('EDS Lookup'!$G$6:$G$2819,$G1735))</f>
        <v/>
      </c>
      <c r="G1735" t="str">
        <f>IF(1712&lt;=$B$4,IFERROR(MATCH(1712,'EDS Lookup'!$H$6:$H$2819,0),""),"")</f>
        <v/>
      </c>
      <c r="H1735" t="str">
        <f t="shared" si="26"/>
        <v/>
      </c>
    </row>
    <row r="1736" spans="1:8" ht="19.95" customHeight="1">
      <c r="A1736" s="5" t="str">
        <f>IF($G1736="","",INDEX('EDS Lookup'!$D$6:$D$2819,$G1736))</f>
        <v/>
      </c>
      <c r="B1736" s="5" t="str">
        <f>IF($G1736="","",INDEX('EDS Lookup'!$B$6:$B$2819,$G1736))</f>
        <v/>
      </c>
      <c r="C1736" s="17"/>
      <c r="D1736" s="6"/>
      <c r="E1736" s="7" t="str">
        <f>IF($G1736="","",INDEX('EDS Lookup'!$F$6:$F$2819,$G1736))</f>
        <v/>
      </c>
      <c r="F1736" s="8" t="str">
        <f>IF($G1736="","",INDEX('EDS Lookup'!$G$6:$G$2819,$G1736))</f>
        <v/>
      </c>
      <c r="G1736" t="str">
        <f>IF(1713&lt;=$B$4,IFERROR(MATCH(1713,'EDS Lookup'!$H$6:$H$2819,0),""),"")</f>
        <v/>
      </c>
      <c r="H1736" t="str">
        <f t="shared" si="26"/>
        <v/>
      </c>
    </row>
    <row r="1737" spans="1:8" ht="19.95" customHeight="1">
      <c r="A1737" s="5" t="str">
        <f>IF($G1737="","",INDEX('EDS Lookup'!$D$6:$D$2819,$G1737))</f>
        <v/>
      </c>
      <c r="B1737" s="5" t="str">
        <f>IF($G1737="","",INDEX('EDS Lookup'!$B$6:$B$2819,$G1737))</f>
        <v/>
      </c>
      <c r="C1737" s="17"/>
      <c r="D1737" s="6"/>
      <c r="E1737" s="7" t="str">
        <f>IF($G1737="","",INDEX('EDS Lookup'!$F$6:$F$2819,$G1737))</f>
        <v/>
      </c>
      <c r="F1737" s="8" t="str">
        <f>IF($G1737="","",INDEX('EDS Lookup'!$G$6:$G$2819,$G1737))</f>
        <v/>
      </c>
      <c r="G1737" t="str">
        <f>IF(1714&lt;=$B$4,IFERROR(MATCH(1714,'EDS Lookup'!$H$6:$H$2819,0),""),"")</f>
        <v/>
      </c>
      <c r="H1737" t="str">
        <f t="shared" si="26"/>
        <v/>
      </c>
    </row>
    <row r="1738" spans="1:8" ht="19.95" customHeight="1">
      <c r="A1738" s="5" t="str">
        <f>IF($G1738="","",INDEX('EDS Lookup'!$D$6:$D$2819,$G1738))</f>
        <v/>
      </c>
      <c r="B1738" s="5" t="str">
        <f>IF($G1738="","",INDEX('EDS Lookup'!$B$6:$B$2819,$G1738))</f>
        <v/>
      </c>
      <c r="C1738" s="17"/>
      <c r="D1738" s="6"/>
      <c r="E1738" s="7" t="str">
        <f>IF($G1738="","",INDEX('EDS Lookup'!$F$6:$F$2819,$G1738))</f>
        <v/>
      </c>
      <c r="F1738" s="8" t="str">
        <f>IF($G1738="","",INDEX('EDS Lookup'!$G$6:$G$2819,$G1738))</f>
        <v/>
      </c>
      <c r="G1738" t="str">
        <f>IF(1715&lt;=$B$4,IFERROR(MATCH(1715,'EDS Lookup'!$H$6:$H$2819,0),""),"")</f>
        <v/>
      </c>
      <c r="H1738" t="str">
        <f t="shared" si="26"/>
        <v/>
      </c>
    </row>
    <row r="1739" spans="1:8" ht="19.95" customHeight="1">
      <c r="A1739" s="5" t="str">
        <f>IF($G1739="","",INDEX('EDS Lookup'!$D$6:$D$2819,$G1739))</f>
        <v/>
      </c>
      <c r="B1739" s="5" t="str">
        <f>IF($G1739="","",INDEX('EDS Lookup'!$B$6:$B$2819,$G1739))</f>
        <v/>
      </c>
      <c r="C1739" s="17"/>
      <c r="D1739" s="6"/>
      <c r="E1739" s="7" t="str">
        <f>IF($G1739="","",INDEX('EDS Lookup'!$F$6:$F$2819,$G1739))</f>
        <v/>
      </c>
      <c r="F1739" s="8" t="str">
        <f>IF($G1739="","",INDEX('EDS Lookup'!$G$6:$G$2819,$G1739))</f>
        <v/>
      </c>
      <c r="G1739" t="str">
        <f>IF(1716&lt;=$B$4,IFERROR(MATCH(1716,'EDS Lookup'!$H$6:$H$2819,0),""),"")</f>
        <v/>
      </c>
      <c r="H1739" t="str">
        <f t="shared" si="26"/>
        <v/>
      </c>
    </row>
    <row r="1740" spans="1:8" ht="19.95" customHeight="1">
      <c r="A1740" s="5" t="str">
        <f>IF($G1740="","",INDEX('EDS Lookup'!$D$6:$D$2819,$G1740))</f>
        <v/>
      </c>
      <c r="B1740" s="5" t="str">
        <f>IF($G1740="","",INDEX('EDS Lookup'!$B$6:$B$2819,$G1740))</f>
        <v/>
      </c>
      <c r="C1740" s="17"/>
      <c r="D1740" s="6"/>
      <c r="E1740" s="7" t="str">
        <f>IF($G1740="","",INDEX('EDS Lookup'!$F$6:$F$2819,$G1740))</f>
        <v/>
      </c>
      <c r="F1740" s="8" t="str">
        <f>IF($G1740="","",INDEX('EDS Lookup'!$G$6:$G$2819,$G1740))</f>
        <v/>
      </c>
      <c r="G1740" t="str">
        <f>IF(1717&lt;=$B$4,IFERROR(MATCH(1717,'EDS Lookup'!$H$6:$H$2819,0),""),"")</f>
        <v/>
      </c>
      <c r="H1740" t="str">
        <f t="shared" si="26"/>
        <v/>
      </c>
    </row>
    <row r="1741" spans="1:8" ht="19.95" customHeight="1">
      <c r="A1741" s="5" t="str">
        <f>IF($G1741="","",INDEX('EDS Lookup'!$D$6:$D$2819,$G1741))</f>
        <v/>
      </c>
      <c r="B1741" s="5" t="str">
        <f>IF($G1741="","",INDEX('EDS Lookup'!$B$6:$B$2819,$G1741))</f>
        <v/>
      </c>
      <c r="C1741" s="17"/>
      <c r="D1741" s="6"/>
      <c r="E1741" s="7" t="str">
        <f>IF($G1741="","",INDEX('EDS Lookup'!$F$6:$F$2819,$G1741))</f>
        <v/>
      </c>
      <c r="F1741" s="8" t="str">
        <f>IF($G1741="","",INDEX('EDS Lookup'!$G$6:$G$2819,$G1741))</f>
        <v/>
      </c>
      <c r="G1741" t="str">
        <f>IF(1718&lt;=$B$4,IFERROR(MATCH(1718,'EDS Lookup'!$H$6:$H$2819,0),""),"")</f>
        <v/>
      </c>
      <c r="H1741" t="str">
        <f t="shared" si="26"/>
        <v/>
      </c>
    </row>
    <row r="1742" spans="1:8" ht="19.95" customHeight="1">
      <c r="A1742" s="5" t="str">
        <f>IF($G1742="","",INDEX('EDS Lookup'!$D$6:$D$2819,$G1742))</f>
        <v/>
      </c>
      <c r="B1742" s="5" t="str">
        <f>IF($G1742="","",INDEX('EDS Lookup'!$B$6:$B$2819,$G1742))</f>
        <v/>
      </c>
      <c r="C1742" s="17"/>
      <c r="D1742" s="6"/>
      <c r="E1742" s="7" t="str">
        <f>IF($G1742="","",INDEX('EDS Lookup'!$F$6:$F$2819,$G1742))</f>
        <v/>
      </c>
      <c r="F1742" s="8" t="str">
        <f>IF($G1742="","",INDEX('EDS Lookup'!$G$6:$G$2819,$G1742))</f>
        <v/>
      </c>
      <c r="G1742" t="str">
        <f>IF(1719&lt;=$B$4,IFERROR(MATCH(1719,'EDS Lookup'!$H$6:$H$2819,0),""),"")</f>
        <v/>
      </c>
      <c r="H1742" t="str">
        <f t="shared" si="26"/>
        <v/>
      </c>
    </row>
    <row r="1743" spans="1:8" ht="19.95" customHeight="1">
      <c r="A1743" s="5" t="str">
        <f>IF($G1743="","",INDEX('EDS Lookup'!$D$6:$D$2819,$G1743))</f>
        <v/>
      </c>
      <c r="B1743" s="5" t="str">
        <f>IF($G1743="","",INDEX('EDS Lookup'!$B$6:$B$2819,$G1743))</f>
        <v/>
      </c>
      <c r="C1743" s="17"/>
      <c r="D1743" s="6"/>
      <c r="E1743" s="7" t="str">
        <f>IF($G1743="","",INDEX('EDS Lookup'!$F$6:$F$2819,$G1743))</f>
        <v/>
      </c>
      <c r="F1743" s="8" t="str">
        <f>IF($G1743="","",INDEX('EDS Lookup'!$G$6:$G$2819,$G1743))</f>
        <v/>
      </c>
      <c r="G1743" t="str">
        <f>IF(1720&lt;=$B$4,IFERROR(MATCH(1720,'EDS Lookup'!$H$6:$H$2819,0),""),"")</f>
        <v/>
      </c>
      <c r="H1743" t="str">
        <f t="shared" si="26"/>
        <v/>
      </c>
    </row>
    <row r="1744" spans="1:8" ht="19.95" customHeight="1">
      <c r="A1744" s="5" t="str">
        <f>IF($G1744="","",INDEX('EDS Lookup'!$D$6:$D$2819,$G1744))</f>
        <v/>
      </c>
      <c r="B1744" s="5" t="str">
        <f>IF($G1744="","",INDEX('EDS Lookup'!$B$6:$B$2819,$G1744))</f>
        <v/>
      </c>
      <c r="C1744" s="17"/>
      <c r="D1744" s="6"/>
      <c r="E1744" s="7" t="str">
        <f>IF($G1744="","",INDEX('EDS Lookup'!$F$6:$F$2819,$G1744))</f>
        <v/>
      </c>
      <c r="F1744" s="8" t="str">
        <f>IF($G1744="","",INDEX('EDS Lookup'!$G$6:$G$2819,$G1744))</f>
        <v/>
      </c>
      <c r="G1744" t="str">
        <f>IF(1721&lt;=$B$4,IFERROR(MATCH(1721,'EDS Lookup'!$H$6:$H$2819,0),""),"")</f>
        <v/>
      </c>
      <c r="H1744" t="str">
        <f t="shared" si="26"/>
        <v/>
      </c>
    </row>
    <row r="1745" spans="1:8" ht="19.95" customHeight="1">
      <c r="A1745" s="5" t="str">
        <f>IF($G1745="","",INDEX('EDS Lookup'!$D$6:$D$2819,$G1745))</f>
        <v/>
      </c>
      <c r="B1745" s="5" t="str">
        <f>IF($G1745="","",INDEX('EDS Lookup'!$B$6:$B$2819,$G1745))</f>
        <v/>
      </c>
      <c r="C1745" s="17"/>
      <c r="D1745" s="6"/>
      <c r="E1745" s="7" t="str">
        <f>IF($G1745="","",INDEX('EDS Lookup'!$F$6:$F$2819,$G1745))</f>
        <v/>
      </c>
      <c r="F1745" s="8" t="str">
        <f>IF($G1745="","",INDEX('EDS Lookup'!$G$6:$G$2819,$G1745))</f>
        <v/>
      </c>
      <c r="G1745" t="str">
        <f>IF(1722&lt;=$B$4,IFERROR(MATCH(1722,'EDS Lookup'!$H$6:$H$2819,0),""),"")</f>
        <v/>
      </c>
      <c r="H1745" t="str">
        <f t="shared" si="26"/>
        <v/>
      </c>
    </row>
    <row r="1746" spans="1:8" ht="19.95" customHeight="1">
      <c r="A1746" s="5" t="str">
        <f>IF($G1746="","",INDEX('EDS Lookup'!$D$6:$D$2819,$G1746))</f>
        <v/>
      </c>
      <c r="B1746" s="5" t="str">
        <f>IF($G1746="","",INDEX('EDS Lookup'!$B$6:$B$2819,$G1746))</f>
        <v/>
      </c>
      <c r="C1746" s="17"/>
      <c r="D1746" s="6"/>
      <c r="E1746" s="7" t="str">
        <f>IF($G1746="","",INDEX('EDS Lookup'!$F$6:$F$2819,$G1746))</f>
        <v/>
      </c>
      <c r="F1746" s="8" t="str">
        <f>IF($G1746="","",INDEX('EDS Lookup'!$G$6:$G$2819,$G1746))</f>
        <v/>
      </c>
      <c r="G1746" t="str">
        <f>IF(1723&lt;=$B$4,IFERROR(MATCH(1723,'EDS Lookup'!$H$6:$H$2819,0),""),"")</f>
        <v/>
      </c>
      <c r="H1746" t="str">
        <f t="shared" si="26"/>
        <v/>
      </c>
    </row>
    <row r="1747" spans="1:8" ht="19.95" customHeight="1">
      <c r="A1747" s="5" t="str">
        <f>IF($G1747="","",INDEX('EDS Lookup'!$D$6:$D$2819,$G1747))</f>
        <v/>
      </c>
      <c r="B1747" s="5" t="str">
        <f>IF($G1747="","",INDEX('EDS Lookup'!$B$6:$B$2819,$G1747))</f>
        <v/>
      </c>
      <c r="C1747" s="17"/>
      <c r="D1747" s="6"/>
      <c r="E1747" s="7" t="str">
        <f>IF($G1747="","",INDEX('EDS Lookup'!$F$6:$F$2819,$G1747))</f>
        <v/>
      </c>
      <c r="F1747" s="8" t="str">
        <f>IF($G1747="","",INDEX('EDS Lookup'!$G$6:$G$2819,$G1747))</f>
        <v/>
      </c>
      <c r="G1747" t="str">
        <f>IF(1724&lt;=$B$4,IFERROR(MATCH(1724,'EDS Lookup'!$H$6:$H$2819,0),""),"")</f>
        <v/>
      </c>
      <c r="H1747" t="str">
        <f t="shared" si="26"/>
        <v/>
      </c>
    </row>
    <row r="1748" spans="1:8" ht="19.95" customHeight="1">
      <c r="A1748" s="5" t="str">
        <f>IF($G1748="","",INDEX('EDS Lookup'!$D$6:$D$2819,$G1748))</f>
        <v/>
      </c>
      <c r="B1748" s="5" t="str">
        <f>IF($G1748="","",INDEX('EDS Lookup'!$B$6:$B$2819,$G1748))</f>
        <v/>
      </c>
      <c r="C1748" s="17"/>
      <c r="D1748" s="6"/>
      <c r="E1748" s="7" t="str">
        <f>IF($G1748="","",INDEX('EDS Lookup'!$F$6:$F$2819,$G1748))</f>
        <v/>
      </c>
      <c r="F1748" s="8" t="str">
        <f>IF($G1748="","",INDEX('EDS Lookup'!$G$6:$G$2819,$G1748))</f>
        <v/>
      </c>
      <c r="G1748" t="str">
        <f>IF(1725&lt;=$B$4,IFERROR(MATCH(1725,'EDS Lookup'!$H$6:$H$2819,0),""),"")</f>
        <v/>
      </c>
      <c r="H1748" t="str">
        <f t="shared" si="26"/>
        <v/>
      </c>
    </row>
    <row r="1749" spans="1:8" ht="19.95" customHeight="1">
      <c r="A1749" s="5" t="str">
        <f>IF($G1749="","",INDEX('EDS Lookup'!$D$6:$D$2819,$G1749))</f>
        <v/>
      </c>
      <c r="B1749" s="5" t="str">
        <f>IF($G1749="","",INDEX('EDS Lookup'!$B$6:$B$2819,$G1749))</f>
        <v/>
      </c>
      <c r="C1749" s="17"/>
      <c r="D1749" s="6"/>
      <c r="E1749" s="7" t="str">
        <f>IF($G1749="","",INDEX('EDS Lookup'!$F$6:$F$2819,$G1749))</f>
        <v/>
      </c>
      <c r="F1749" s="8" t="str">
        <f>IF($G1749="","",INDEX('EDS Lookup'!$G$6:$G$2819,$G1749))</f>
        <v/>
      </c>
      <c r="G1749" t="str">
        <f>IF(1726&lt;=$B$4,IFERROR(MATCH(1726,'EDS Lookup'!$H$6:$H$2819,0),""),"")</f>
        <v/>
      </c>
      <c r="H1749" t="str">
        <f t="shared" si="26"/>
        <v/>
      </c>
    </row>
    <row r="1750" spans="1:8" ht="19.95" customHeight="1">
      <c r="A1750" s="5" t="str">
        <f>IF($G1750="","",INDEX('EDS Lookup'!$D$6:$D$2819,$G1750))</f>
        <v/>
      </c>
      <c r="B1750" s="5" t="str">
        <f>IF($G1750="","",INDEX('EDS Lookup'!$B$6:$B$2819,$G1750))</f>
        <v/>
      </c>
      <c r="C1750" s="17"/>
      <c r="D1750" s="6"/>
      <c r="E1750" s="7" t="str">
        <f>IF($G1750="","",INDEX('EDS Lookup'!$F$6:$F$2819,$G1750))</f>
        <v/>
      </c>
      <c r="F1750" s="8" t="str">
        <f>IF($G1750="","",INDEX('EDS Lookup'!$G$6:$G$2819,$G1750))</f>
        <v/>
      </c>
      <c r="G1750" t="str">
        <f>IF(1727&lt;=$B$4,IFERROR(MATCH(1727,'EDS Lookup'!$H$6:$H$2819,0),""),"")</f>
        <v/>
      </c>
      <c r="H1750" t="str">
        <f t="shared" si="26"/>
        <v/>
      </c>
    </row>
    <row r="1751" spans="1:8" ht="19.95" customHeight="1">
      <c r="A1751" s="5" t="str">
        <f>IF($G1751="","",INDEX('EDS Lookup'!$D$6:$D$2819,$G1751))</f>
        <v/>
      </c>
      <c r="B1751" s="5" t="str">
        <f>IF($G1751="","",INDEX('EDS Lookup'!$B$6:$B$2819,$G1751))</f>
        <v/>
      </c>
      <c r="C1751" s="17"/>
      <c r="D1751" s="6"/>
      <c r="E1751" s="7" t="str">
        <f>IF($G1751="","",INDEX('EDS Lookup'!$F$6:$F$2819,$G1751))</f>
        <v/>
      </c>
      <c r="F1751" s="8" t="str">
        <f>IF($G1751="","",INDEX('EDS Lookup'!$G$6:$G$2819,$G1751))</f>
        <v/>
      </c>
      <c r="G1751" t="str">
        <f>IF(1728&lt;=$B$4,IFERROR(MATCH(1728,'EDS Lookup'!$H$6:$H$2819,0),""),"")</f>
        <v/>
      </c>
      <c r="H1751" t="str">
        <f t="shared" si="26"/>
        <v/>
      </c>
    </row>
    <row r="1752" spans="1:8" ht="19.95" customHeight="1">
      <c r="A1752" s="5" t="str">
        <f>IF($G1752="","",INDEX('EDS Lookup'!$D$6:$D$2819,$G1752))</f>
        <v/>
      </c>
      <c r="B1752" s="5" t="str">
        <f>IF($G1752="","",INDEX('EDS Lookup'!$B$6:$B$2819,$G1752))</f>
        <v/>
      </c>
      <c r="C1752" s="17"/>
      <c r="D1752" s="6"/>
      <c r="E1752" s="7" t="str">
        <f>IF($G1752="","",INDEX('EDS Lookup'!$F$6:$F$2819,$G1752))</f>
        <v/>
      </c>
      <c r="F1752" s="8" t="str">
        <f>IF($G1752="","",INDEX('EDS Lookup'!$G$6:$G$2819,$G1752))</f>
        <v/>
      </c>
      <c r="G1752" t="str">
        <f>IF(1729&lt;=$B$4,IFERROR(MATCH(1729,'EDS Lookup'!$H$6:$H$2819,0),""),"")</f>
        <v/>
      </c>
      <c r="H1752" t="str">
        <f t="shared" ref="H1752:H1815" si="27">IF(F1752="&lt;5",5,IF(F1752="&gt;95",95,IF(ISNUMBER(F1752),F1752,"")))</f>
        <v/>
      </c>
    </row>
    <row r="1753" spans="1:8" ht="19.95" customHeight="1">
      <c r="A1753" s="5" t="str">
        <f>IF($G1753="","",INDEX('EDS Lookup'!$D$6:$D$2819,$G1753))</f>
        <v/>
      </c>
      <c r="B1753" s="5" t="str">
        <f>IF($G1753="","",INDEX('EDS Lookup'!$B$6:$B$2819,$G1753))</f>
        <v/>
      </c>
      <c r="C1753" s="17"/>
      <c r="D1753" s="6"/>
      <c r="E1753" s="7" t="str">
        <f>IF($G1753="","",INDEX('EDS Lookup'!$F$6:$F$2819,$G1753))</f>
        <v/>
      </c>
      <c r="F1753" s="8" t="str">
        <f>IF($G1753="","",INDEX('EDS Lookup'!$G$6:$G$2819,$G1753))</f>
        <v/>
      </c>
      <c r="G1753" t="str">
        <f>IF(1730&lt;=$B$4,IFERROR(MATCH(1730,'EDS Lookup'!$H$6:$H$2819,0),""),"")</f>
        <v/>
      </c>
      <c r="H1753" t="str">
        <f t="shared" si="27"/>
        <v/>
      </c>
    </row>
    <row r="1754" spans="1:8" ht="19.95" customHeight="1">
      <c r="A1754" s="5" t="str">
        <f>IF($G1754="","",INDEX('EDS Lookup'!$D$6:$D$2819,$G1754))</f>
        <v/>
      </c>
      <c r="B1754" s="5" t="str">
        <f>IF($G1754="","",INDEX('EDS Lookup'!$B$6:$B$2819,$G1754))</f>
        <v/>
      </c>
      <c r="C1754" s="17"/>
      <c r="D1754" s="6"/>
      <c r="E1754" s="7" t="str">
        <f>IF($G1754="","",INDEX('EDS Lookup'!$F$6:$F$2819,$G1754))</f>
        <v/>
      </c>
      <c r="F1754" s="8" t="str">
        <f>IF($G1754="","",INDEX('EDS Lookup'!$G$6:$G$2819,$G1754))</f>
        <v/>
      </c>
      <c r="G1754" t="str">
        <f>IF(1731&lt;=$B$4,IFERROR(MATCH(1731,'EDS Lookup'!$H$6:$H$2819,0),""),"")</f>
        <v/>
      </c>
      <c r="H1754" t="str">
        <f t="shared" si="27"/>
        <v/>
      </c>
    </row>
    <row r="1755" spans="1:8" ht="19.95" customHeight="1">
      <c r="A1755" s="5" t="str">
        <f>IF($G1755="","",INDEX('EDS Lookup'!$D$6:$D$2819,$G1755))</f>
        <v/>
      </c>
      <c r="B1755" s="5" t="str">
        <f>IF($G1755="","",INDEX('EDS Lookup'!$B$6:$B$2819,$G1755))</f>
        <v/>
      </c>
      <c r="C1755" s="17"/>
      <c r="D1755" s="6"/>
      <c r="E1755" s="7" t="str">
        <f>IF($G1755="","",INDEX('EDS Lookup'!$F$6:$F$2819,$G1755))</f>
        <v/>
      </c>
      <c r="F1755" s="8" t="str">
        <f>IF($G1755="","",INDEX('EDS Lookup'!$G$6:$G$2819,$G1755))</f>
        <v/>
      </c>
      <c r="G1755" t="str">
        <f>IF(1732&lt;=$B$4,IFERROR(MATCH(1732,'EDS Lookup'!$H$6:$H$2819,0),""),"")</f>
        <v/>
      </c>
      <c r="H1755" t="str">
        <f t="shared" si="27"/>
        <v/>
      </c>
    </row>
    <row r="1756" spans="1:8" ht="19.95" customHeight="1">
      <c r="A1756" s="5" t="str">
        <f>IF($G1756="","",INDEX('EDS Lookup'!$D$6:$D$2819,$G1756))</f>
        <v/>
      </c>
      <c r="B1756" s="5" t="str">
        <f>IF($G1756="","",INDEX('EDS Lookup'!$B$6:$B$2819,$G1756))</f>
        <v/>
      </c>
      <c r="C1756" s="17"/>
      <c r="D1756" s="6"/>
      <c r="E1756" s="7" t="str">
        <f>IF($G1756="","",INDEX('EDS Lookup'!$F$6:$F$2819,$G1756))</f>
        <v/>
      </c>
      <c r="F1756" s="8" t="str">
        <f>IF($G1756="","",INDEX('EDS Lookup'!$G$6:$G$2819,$G1756))</f>
        <v/>
      </c>
      <c r="G1756" t="str">
        <f>IF(1733&lt;=$B$4,IFERROR(MATCH(1733,'EDS Lookup'!$H$6:$H$2819,0),""),"")</f>
        <v/>
      </c>
      <c r="H1756" t="str">
        <f t="shared" si="27"/>
        <v/>
      </c>
    </row>
    <row r="1757" spans="1:8" ht="19.95" customHeight="1">
      <c r="A1757" s="5" t="str">
        <f>IF($G1757="","",INDEX('EDS Lookup'!$D$6:$D$2819,$G1757))</f>
        <v/>
      </c>
      <c r="B1757" s="5" t="str">
        <f>IF($G1757="","",INDEX('EDS Lookup'!$B$6:$B$2819,$G1757))</f>
        <v/>
      </c>
      <c r="C1757" s="17"/>
      <c r="D1757" s="6"/>
      <c r="E1757" s="7" t="str">
        <f>IF($G1757="","",INDEX('EDS Lookup'!$F$6:$F$2819,$G1757))</f>
        <v/>
      </c>
      <c r="F1757" s="8" t="str">
        <f>IF($G1757="","",INDEX('EDS Lookup'!$G$6:$G$2819,$G1757))</f>
        <v/>
      </c>
      <c r="G1757" t="str">
        <f>IF(1734&lt;=$B$4,IFERROR(MATCH(1734,'EDS Lookup'!$H$6:$H$2819,0),""),"")</f>
        <v/>
      </c>
      <c r="H1757" t="str">
        <f t="shared" si="27"/>
        <v/>
      </c>
    </row>
    <row r="1758" spans="1:8" ht="19.95" customHeight="1">
      <c r="A1758" s="5" t="str">
        <f>IF($G1758="","",INDEX('EDS Lookup'!$D$6:$D$2819,$G1758))</f>
        <v/>
      </c>
      <c r="B1758" s="5" t="str">
        <f>IF($G1758="","",INDEX('EDS Lookup'!$B$6:$B$2819,$G1758))</f>
        <v/>
      </c>
      <c r="C1758" s="17"/>
      <c r="D1758" s="6"/>
      <c r="E1758" s="7" t="str">
        <f>IF($G1758="","",INDEX('EDS Lookup'!$F$6:$F$2819,$G1758))</f>
        <v/>
      </c>
      <c r="F1758" s="8" t="str">
        <f>IF($G1758="","",INDEX('EDS Lookup'!$G$6:$G$2819,$G1758))</f>
        <v/>
      </c>
      <c r="G1758" t="str">
        <f>IF(1735&lt;=$B$4,IFERROR(MATCH(1735,'EDS Lookup'!$H$6:$H$2819,0),""),"")</f>
        <v/>
      </c>
      <c r="H1758" t="str">
        <f t="shared" si="27"/>
        <v/>
      </c>
    </row>
    <row r="1759" spans="1:8" ht="19.95" customHeight="1">
      <c r="A1759" s="5" t="str">
        <f>IF($G1759="","",INDEX('EDS Lookup'!$D$6:$D$2819,$G1759))</f>
        <v/>
      </c>
      <c r="B1759" s="5" t="str">
        <f>IF($G1759="","",INDEX('EDS Lookup'!$B$6:$B$2819,$G1759))</f>
        <v/>
      </c>
      <c r="C1759" s="17"/>
      <c r="D1759" s="6"/>
      <c r="E1759" s="7" t="str">
        <f>IF($G1759="","",INDEX('EDS Lookup'!$F$6:$F$2819,$G1759))</f>
        <v/>
      </c>
      <c r="F1759" s="8" t="str">
        <f>IF($G1759="","",INDEX('EDS Lookup'!$G$6:$G$2819,$G1759))</f>
        <v/>
      </c>
      <c r="G1759" t="str">
        <f>IF(1736&lt;=$B$4,IFERROR(MATCH(1736,'EDS Lookup'!$H$6:$H$2819,0),""),"")</f>
        <v/>
      </c>
      <c r="H1759" t="str">
        <f t="shared" si="27"/>
        <v/>
      </c>
    </row>
    <row r="1760" spans="1:8" ht="19.95" customHeight="1">
      <c r="A1760" s="5" t="str">
        <f>IF($G1760="","",INDEX('EDS Lookup'!$D$6:$D$2819,$G1760))</f>
        <v/>
      </c>
      <c r="B1760" s="5" t="str">
        <f>IF($G1760="","",INDEX('EDS Lookup'!$B$6:$B$2819,$G1760))</f>
        <v/>
      </c>
      <c r="C1760" s="17"/>
      <c r="D1760" s="6"/>
      <c r="E1760" s="7" t="str">
        <f>IF($G1760="","",INDEX('EDS Lookup'!$F$6:$F$2819,$G1760))</f>
        <v/>
      </c>
      <c r="F1760" s="8" t="str">
        <f>IF($G1760="","",INDEX('EDS Lookup'!$G$6:$G$2819,$G1760))</f>
        <v/>
      </c>
      <c r="G1760" t="str">
        <f>IF(1737&lt;=$B$4,IFERROR(MATCH(1737,'EDS Lookup'!$H$6:$H$2819,0),""),"")</f>
        <v/>
      </c>
      <c r="H1760" t="str">
        <f t="shared" si="27"/>
        <v/>
      </c>
    </row>
    <row r="1761" spans="1:8" ht="19.95" customHeight="1">
      <c r="A1761" s="5" t="str">
        <f>IF($G1761="","",INDEX('EDS Lookup'!$D$6:$D$2819,$G1761))</f>
        <v/>
      </c>
      <c r="B1761" s="5" t="str">
        <f>IF($G1761="","",INDEX('EDS Lookup'!$B$6:$B$2819,$G1761))</f>
        <v/>
      </c>
      <c r="C1761" s="17"/>
      <c r="D1761" s="6"/>
      <c r="E1761" s="7" t="str">
        <f>IF($G1761="","",INDEX('EDS Lookup'!$F$6:$F$2819,$G1761))</f>
        <v/>
      </c>
      <c r="F1761" s="8" t="str">
        <f>IF($G1761="","",INDEX('EDS Lookup'!$G$6:$G$2819,$G1761))</f>
        <v/>
      </c>
      <c r="G1761" t="str">
        <f>IF(1738&lt;=$B$4,IFERROR(MATCH(1738,'EDS Lookup'!$H$6:$H$2819,0),""),"")</f>
        <v/>
      </c>
      <c r="H1761" t="str">
        <f t="shared" si="27"/>
        <v/>
      </c>
    </row>
    <row r="1762" spans="1:8" ht="19.95" customHeight="1">
      <c r="A1762" s="5" t="str">
        <f>IF($G1762="","",INDEX('EDS Lookup'!$D$6:$D$2819,$G1762))</f>
        <v/>
      </c>
      <c r="B1762" s="5" t="str">
        <f>IF($G1762="","",INDEX('EDS Lookup'!$B$6:$B$2819,$G1762))</f>
        <v/>
      </c>
      <c r="C1762" s="17"/>
      <c r="D1762" s="6"/>
      <c r="E1762" s="7" t="str">
        <f>IF($G1762="","",INDEX('EDS Lookup'!$F$6:$F$2819,$G1762))</f>
        <v/>
      </c>
      <c r="F1762" s="8" t="str">
        <f>IF($G1762="","",INDEX('EDS Lookup'!$G$6:$G$2819,$G1762))</f>
        <v/>
      </c>
      <c r="G1762" t="str">
        <f>IF(1739&lt;=$B$4,IFERROR(MATCH(1739,'EDS Lookup'!$H$6:$H$2819,0),""),"")</f>
        <v/>
      </c>
      <c r="H1762" t="str">
        <f t="shared" si="27"/>
        <v/>
      </c>
    </row>
    <row r="1763" spans="1:8" ht="19.95" customHeight="1">
      <c r="A1763" s="5" t="str">
        <f>IF($G1763="","",INDEX('EDS Lookup'!$D$6:$D$2819,$G1763))</f>
        <v/>
      </c>
      <c r="B1763" s="5" t="str">
        <f>IF($G1763="","",INDEX('EDS Lookup'!$B$6:$B$2819,$G1763))</f>
        <v/>
      </c>
      <c r="C1763" s="17"/>
      <c r="D1763" s="6"/>
      <c r="E1763" s="7" t="str">
        <f>IF($G1763="","",INDEX('EDS Lookup'!$F$6:$F$2819,$G1763))</f>
        <v/>
      </c>
      <c r="F1763" s="8" t="str">
        <f>IF($G1763="","",INDEX('EDS Lookup'!$G$6:$G$2819,$G1763))</f>
        <v/>
      </c>
      <c r="G1763" t="str">
        <f>IF(1740&lt;=$B$4,IFERROR(MATCH(1740,'EDS Lookup'!$H$6:$H$2819,0),""),"")</f>
        <v/>
      </c>
      <c r="H1763" t="str">
        <f t="shared" si="27"/>
        <v/>
      </c>
    </row>
    <row r="1764" spans="1:8" ht="19.95" customHeight="1">
      <c r="A1764" s="5" t="str">
        <f>IF($G1764="","",INDEX('EDS Lookup'!$D$6:$D$2819,$G1764))</f>
        <v/>
      </c>
      <c r="B1764" s="5" t="str">
        <f>IF($G1764="","",INDEX('EDS Lookup'!$B$6:$B$2819,$G1764))</f>
        <v/>
      </c>
      <c r="C1764" s="17"/>
      <c r="D1764" s="6"/>
      <c r="E1764" s="7" t="str">
        <f>IF($G1764="","",INDEX('EDS Lookup'!$F$6:$F$2819,$G1764))</f>
        <v/>
      </c>
      <c r="F1764" s="8" t="str">
        <f>IF($G1764="","",INDEX('EDS Lookup'!$G$6:$G$2819,$G1764))</f>
        <v/>
      </c>
      <c r="G1764" t="str">
        <f>IF(1741&lt;=$B$4,IFERROR(MATCH(1741,'EDS Lookup'!$H$6:$H$2819,0),""),"")</f>
        <v/>
      </c>
      <c r="H1764" t="str">
        <f t="shared" si="27"/>
        <v/>
      </c>
    </row>
    <row r="1765" spans="1:8" ht="19.95" customHeight="1">
      <c r="A1765" s="5" t="str">
        <f>IF($G1765="","",INDEX('EDS Lookup'!$D$6:$D$2819,$G1765))</f>
        <v/>
      </c>
      <c r="B1765" s="5" t="str">
        <f>IF($G1765="","",INDEX('EDS Lookup'!$B$6:$B$2819,$G1765))</f>
        <v/>
      </c>
      <c r="C1765" s="17"/>
      <c r="D1765" s="6"/>
      <c r="E1765" s="7" t="str">
        <f>IF($G1765="","",INDEX('EDS Lookup'!$F$6:$F$2819,$G1765))</f>
        <v/>
      </c>
      <c r="F1765" s="8" t="str">
        <f>IF($G1765="","",INDEX('EDS Lookup'!$G$6:$G$2819,$G1765))</f>
        <v/>
      </c>
      <c r="G1765" t="str">
        <f>IF(1742&lt;=$B$4,IFERROR(MATCH(1742,'EDS Lookup'!$H$6:$H$2819,0),""),"")</f>
        <v/>
      </c>
      <c r="H1765" t="str">
        <f t="shared" si="27"/>
        <v/>
      </c>
    </row>
    <row r="1766" spans="1:8" ht="19.95" customHeight="1">
      <c r="A1766" s="5" t="str">
        <f>IF($G1766="","",INDEX('EDS Lookup'!$D$6:$D$2819,$G1766))</f>
        <v/>
      </c>
      <c r="B1766" s="5" t="str">
        <f>IF($G1766="","",INDEX('EDS Lookup'!$B$6:$B$2819,$G1766))</f>
        <v/>
      </c>
      <c r="C1766" s="17"/>
      <c r="D1766" s="6"/>
      <c r="E1766" s="7" t="str">
        <f>IF($G1766="","",INDEX('EDS Lookup'!$F$6:$F$2819,$G1766))</f>
        <v/>
      </c>
      <c r="F1766" s="8" t="str">
        <f>IF($G1766="","",INDEX('EDS Lookup'!$G$6:$G$2819,$G1766))</f>
        <v/>
      </c>
      <c r="G1766" t="str">
        <f>IF(1743&lt;=$B$4,IFERROR(MATCH(1743,'EDS Lookup'!$H$6:$H$2819,0),""),"")</f>
        <v/>
      </c>
      <c r="H1766" t="str">
        <f t="shared" si="27"/>
        <v/>
      </c>
    </row>
    <row r="1767" spans="1:8" ht="19.95" customHeight="1">
      <c r="A1767" s="5" t="str">
        <f>IF($G1767="","",INDEX('EDS Lookup'!$D$6:$D$2819,$G1767))</f>
        <v/>
      </c>
      <c r="B1767" s="5" t="str">
        <f>IF($G1767="","",INDEX('EDS Lookup'!$B$6:$B$2819,$G1767))</f>
        <v/>
      </c>
      <c r="C1767" s="17"/>
      <c r="D1767" s="6"/>
      <c r="E1767" s="7" t="str">
        <f>IF($G1767="","",INDEX('EDS Lookup'!$F$6:$F$2819,$G1767))</f>
        <v/>
      </c>
      <c r="F1767" s="8" t="str">
        <f>IF($G1767="","",INDEX('EDS Lookup'!$G$6:$G$2819,$G1767))</f>
        <v/>
      </c>
      <c r="G1767" t="str">
        <f>IF(1744&lt;=$B$4,IFERROR(MATCH(1744,'EDS Lookup'!$H$6:$H$2819,0),""),"")</f>
        <v/>
      </c>
      <c r="H1767" t="str">
        <f t="shared" si="27"/>
        <v/>
      </c>
    </row>
    <row r="1768" spans="1:8" ht="19.95" customHeight="1">
      <c r="A1768" s="5" t="str">
        <f>IF($G1768="","",INDEX('EDS Lookup'!$D$6:$D$2819,$G1768))</f>
        <v/>
      </c>
      <c r="B1768" s="5" t="str">
        <f>IF($G1768="","",INDEX('EDS Lookup'!$B$6:$B$2819,$G1768))</f>
        <v/>
      </c>
      <c r="C1768" s="17"/>
      <c r="D1768" s="6"/>
      <c r="E1768" s="7" t="str">
        <f>IF($G1768="","",INDEX('EDS Lookup'!$F$6:$F$2819,$G1768))</f>
        <v/>
      </c>
      <c r="F1768" s="8" t="str">
        <f>IF($G1768="","",INDEX('EDS Lookup'!$G$6:$G$2819,$G1768))</f>
        <v/>
      </c>
      <c r="G1768" t="str">
        <f>IF(1745&lt;=$B$4,IFERROR(MATCH(1745,'EDS Lookup'!$H$6:$H$2819,0),""),"")</f>
        <v/>
      </c>
      <c r="H1768" t="str">
        <f t="shared" si="27"/>
        <v/>
      </c>
    </row>
    <row r="1769" spans="1:8" ht="19.95" customHeight="1">
      <c r="A1769" s="5" t="str">
        <f>IF($G1769="","",INDEX('EDS Lookup'!$D$6:$D$2819,$G1769))</f>
        <v/>
      </c>
      <c r="B1769" s="5" t="str">
        <f>IF($G1769="","",INDEX('EDS Lookup'!$B$6:$B$2819,$G1769))</f>
        <v/>
      </c>
      <c r="C1769" s="17"/>
      <c r="D1769" s="6"/>
      <c r="E1769" s="7" t="str">
        <f>IF($G1769="","",INDEX('EDS Lookup'!$F$6:$F$2819,$G1769))</f>
        <v/>
      </c>
      <c r="F1769" s="8" t="str">
        <f>IF($G1769="","",INDEX('EDS Lookup'!$G$6:$G$2819,$G1769))</f>
        <v/>
      </c>
      <c r="G1769" t="str">
        <f>IF(1746&lt;=$B$4,IFERROR(MATCH(1746,'EDS Lookup'!$H$6:$H$2819,0),""),"")</f>
        <v/>
      </c>
      <c r="H1769" t="str">
        <f t="shared" si="27"/>
        <v/>
      </c>
    </row>
    <row r="1770" spans="1:8" ht="19.95" customHeight="1">
      <c r="A1770" s="5" t="str">
        <f>IF($G1770="","",INDEX('EDS Lookup'!$D$6:$D$2819,$G1770))</f>
        <v/>
      </c>
      <c r="B1770" s="5" t="str">
        <f>IF($G1770="","",INDEX('EDS Lookup'!$B$6:$B$2819,$G1770))</f>
        <v/>
      </c>
      <c r="C1770" s="17"/>
      <c r="D1770" s="6"/>
      <c r="E1770" s="7" t="str">
        <f>IF($G1770="","",INDEX('EDS Lookup'!$F$6:$F$2819,$G1770))</f>
        <v/>
      </c>
      <c r="F1770" s="8" t="str">
        <f>IF($G1770="","",INDEX('EDS Lookup'!$G$6:$G$2819,$G1770))</f>
        <v/>
      </c>
      <c r="G1770" t="str">
        <f>IF(1747&lt;=$B$4,IFERROR(MATCH(1747,'EDS Lookup'!$H$6:$H$2819,0),""),"")</f>
        <v/>
      </c>
      <c r="H1770" t="str">
        <f t="shared" si="27"/>
        <v/>
      </c>
    </row>
    <row r="1771" spans="1:8" ht="19.95" customHeight="1">
      <c r="A1771" s="5" t="str">
        <f>IF($G1771="","",INDEX('EDS Lookup'!$D$6:$D$2819,$G1771))</f>
        <v/>
      </c>
      <c r="B1771" s="5" t="str">
        <f>IF($G1771="","",INDEX('EDS Lookup'!$B$6:$B$2819,$G1771))</f>
        <v/>
      </c>
      <c r="C1771" s="17"/>
      <c r="D1771" s="6"/>
      <c r="E1771" s="7" t="str">
        <f>IF($G1771="","",INDEX('EDS Lookup'!$F$6:$F$2819,$G1771))</f>
        <v/>
      </c>
      <c r="F1771" s="8" t="str">
        <f>IF($G1771="","",INDEX('EDS Lookup'!$G$6:$G$2819,$G1771))</f>
        <v/>
      </c>
      <c r="G1771" t="str">
        <f>IF(1748&lt;=$B$4,IFERROR(MATCH(1748,'EDS Lookup'!$H$6:$H$2819,0),""),"")</f>
        <v/>
      </c>
      <c r="H1771" t="str">
        <f t="shared" si="27"/>
        <v/>
      </c>
    </row>
    <row r="1772" spans="1:8" ht="19.95" customHeight="1">
      <c r="A1772" s="5" t="str">
        <f>IF($G1772="","",INDEX('EDS Lookup'!$D$6:$D$2819,$G1772))</f>
        <v/>
      </c>
      <c r="B1772" s="5" t="str">
        <f>IF($G1772="","",INDEX('EDS Lookup'!$B$6:$B$2819,$G1772))</f>
        <v/>
      </c>
      <c r="C1772" s="17"/>
      <c r="D1772" s="6"/>
      <c r="E1772" s="7" t="str">
        <f>IF($G1772="","",INDEX('EDS Lookup'!$F$6:$F$2819,$G1772))</f>
        <v/>
      </c>
      <c r="F1772" s="8" t="str">
        <f>IF($G1772="","",INDEX('EDS Lookup'!$G$6:$G$2819,$G1772))</f>
        <v/>
      </c>
      <c r="G1772" t="str">
        <f>IF(1749&lt;=$B$4,IFERROR(MATCH(1749,'EDS Lookup'!$H$6:$H$2819,0),""),"")</f>
        <v/>
      </c>
      <c r="H1772" t="str">
        <f t="shared" si="27"/>
        <v/>
      </c>
    </row>
    <row r="1773" spans="1:8" ht="19.95" customHeight="1">
      <c r="A1773" s="5" t="str">
        <f>IF($G1773="","",INDEX('EDS Lookup'!$D$6:$D$2819,$G1773))</f>
        <v/>
      </c>
      <c r="B1773" s="5" t="str">
        <f>IF($G1773="","",INDEX('EDS Lookup'!$B$6:$B$2819,$G1773))</f>
        <v/>
      </c>
      <c r="C1773" s="17"/>
      <c r="D1773" s="6"/>
      <c r="E1773" s="7" t="str">
        <f>IF($G1773="","",INDEX('EDS Lookup'!$F$6:$F$2819,$G1773))</f>
        <v/>
      </c>
      <c r="F1773" s="8" t="str">
        <f>IF($G1773="","",INDEX('EDS Lookup'!$G$6:$G$2819,$G1773))</f>
        <v/>
      </c>
      <c r="G1773" t="str">
        <f>IF(1750&lt;=$B$4,IFERROR(MATCH(1750,'EDS Lookup'!$H$6:$H$2819,0),""),"")</f>
        <v/>
      </c>
      <c r="H1773" t="str">
        <f t="shared" si="27"/>
        <v/>
      </c>
    </row>
    <row r="1774" spans="1:8" ht="19.95" customHeight="1">
      <c r="A1774" s="5" t="str">
        <f>IF($G1774="","",INDEX('EDS Lookup'!$D$6:$D$2819,$G1774))</f>
        <v/>
      </c>
      <c r="B1774" s="5" t="str">
        <f>IF($G1774="","",INDEX('EDS Lookup'!$B$6:$B$2819,$G1774))</f>
        <v/>
      </c>
      <c r="C1774" s="17"/>
      <c r="D1774" s="6"/>
      <c r="E1774" s="7" t="str">
        <f>IF($G1774="","",INDEX('EDS Lookup'!$F$6:$F$2819,$G1774))</f>
        <v/>
      </c>
      <c r="F1774" s="8" t="str">
        <f>IF($G1774="","",INDEX('EDS Lookup'!$G$6:$G$2819,$G1774))</f>
        <v/>
      </c>
      <c r="G1774" t="str">
        <f>IF(1751&lt;=$B$4,IFERROR(MATCH(1751,'EDS Lookup'!$H$6:$H$2819,0),""),"")</f>
        <v/>
      </c>
      <c r="H1774" t="str">
        <f t="shared" si="27"/>
        <v/>
      </c>
    </row>
    <row r="1775" spans="1:8" ht="19.95" customHeight="1">
      <c r="A1775" s="5" t="str">
        <f>IF($G1775="","",INDEX('EDS Lookup'!$D$6:$D$2819,$G1775))</f>
        <v/>
      </c>
      <c r="B1775" s="5" t="str">
        <f>IF($G1775="","",INDEX('EDS Lookup'!$B$6:$B$2819,$G1775))</f>
        <v/>
      </c>
      <c r="C1775" s="17"/>
      <c r="D1775" s="6"/>
      <c r="E1775" s="7" t="str">
        <f>IF($G1775="","",INDEX('EDS Lookup'!$F$6:$F$2819,$G1775))</f>
        <v/>
      </c>
      <c r="F1775" s="8" t="str">
        <f>IF($G1775="","",INDEX('EDS Lookup'!$G$6:$G$2819,$G1775))</f>
        <v/>
      </c>
      <c r="G1775" t="str">
        <f>IF(1752&lt;=$B$4,IFERROR(MATCH(1752,'EDS Lookup'!$H$6:$H$2819,0),""),"")</f>
        <v/>
      </c>
      <c r="H1775" t="str">
        <f t="shared" si="27"/>
        <v/>
      </c>
    </row>
    <row r="1776" spans="1:8" ht="19.95" customHeight="1">
      <c r="A1776" s="5" t="str">
        <f>IF($G1776="","",INDEX('EDS Lookup'!$D$6:$D$2819,$G1776))</f>
        <v/>
      </c>
      <c r="B1776" s="5" t="str">
        <f>IF($G1776="","",INDEX('EDS Lookup'!$B$6:$B$2819,$G1776))</f>
        <v/>
      </c>
      <c r="C1776" s="17"/>
      <c r="D1776" s="6"/>
      <c r="E1776" s="7" t="str">
        <f>IF($G1776="","",INDEX('EDS Lookup'!$F$6:$F$2819,$G1776))</f>
        <v/>
      </c>
      <c r="F1776" s="8" t="str">
        <f>IF($G1776="","",INDEX('EDS Lookup'!$G$6:$G$2819,$G1776))</f>
        <v/>
      </c>
      <c r="G1776" t="str">
        <f>IF(1753&lt;=$B$4,IFERROR(MATCH(1753,'EDS Lookup'!$H$6:$H$2819,0),""),"")</f>
        <v/>
      </c>
      <c r="H1776" t="str">
        <f t="shared" si="27"/>
        <v/>
      </c>
    </row>
    <row r="1777" spans="1:8" ht="19.95" customHeight="1">
      <c r="A1777" s="5" t="str">
        <f>IF($G1777="","",INDEX('EDS Lookup'!$D$6:$D$2819,$G1777))</f>
        <v/>
      </c>
      <c r="B1777" s="5" t="str">
        <f>IF($G1777="","",INDEX('EDS Lookup'!$B$6:$B$2819,$G1777))</f>
        <v/>
      </c>
      <c r="C1777" s="17"/>
      <c r="D1777" s="6"/>
      <c r="E1777" s="7" t="str">
        <f>IF($G1777="","",INDEX('EDS Lookup'!$F$6:$F$2819,$G1777))</f>
        <v/>
      </c>
      <c r="F1777" s="8" t="str">
        <f>IF($G1777="","",INDEX('EDS Lookup'!$G$6:$G$2819,$G1777))</f>
        <v/>
      </c>
      <c r="G1777" t="str">
        <f>IF(1754&lt;=$B$4,IFERROR(MATCH(1754,'EDS Lookup'!$H$6:$H$2819,0),""),"")</f>
        <v/>
      </c>
      <c r="H1777" t="str">
        <f t="shared" si="27"/>
        <v/>
      </c>
    </row>
    <row r="1778" spans="1:8" ht="19.95" customHeight="1">
      <c r="A1778" s="5" t="str">
        <f>IF($G1778="","",INDEX('EDS Lookup'!$D$6:$D$2819,$G1778))</f>
        <v/>
      </c>
      <c r="B1778" s="5" t="str">
        <f>IF($G1778="","",INDEX('EDS Lookup'!$B$6:$B$2819,$G1778))</f>
        <v/>
      </c>
      <c r="C1778" s="17"/>
      <c r="D1778" s="6"/>
      <c r="E1778" s="7" t="str">
        <f>IF($G1778="","",INDEX('EDS Lookup'!$F$6:$F$2819,$G1778))</f>
        <v/>
      </c>
      <c r="F1778" s="8" t="str">
        <f>IF($G1778="","",INDEX('EDS Lookup'!$G$6:$G$2819,$G1778))</f>
        <v/>
      </c>
      <c r="G1778" t="str">
        <f>IF(1755&lt;=$B$4,IFERROR(MATCH(1755,'EDS Lookup'!$H$6:$H$2819,0),""),"")</f>
        <v/>
      </c>
      <c r="H1778" t="str">
        <f t="shared" si="27"/>
        <v/>
      </c>
    </row>
    <row r="1779" spans="1:8" ht="19.95" customHeight="1">
      <c r="A1779" s="5" t="str">
        <f>IF($G1779="","",INDEX('EDS Lookup'!$D$6:$D$2819,$G1779))</f>
        <v/>
      </c>
      <c r="B1779" s="5" t="str">
        <f>IF($G1779="","",INDEX('EDS Lookup'!$B$6:$B$2819,$G1779))</f>
        <v/>
      </c>
      <c r="C1779" s="17"/>
      <c r="D1779" s="6"/>
      <c r="E1779" s="7" t="str">
        <f>IF($G1779="","",INDEX('EDS Lookup'!$F$6:$F$2819,$G1779))</f>
        <v/>
      </c>
      <c r="F1779" s="8" t="str">
        <f>IF($G1779="","",INDEX('EDS Lookup'!$G$6:$G$2819,$G1779))</f>
        <v/>
      </c>
      <c r="G1779" t="str">
        <f>IF(1756&lt;=$B$4,IFERROR(MATCH(1756,'EDS Lookup'!$H$6:$H$2819,0),""),"")</f>
        <v/>
      </c>
      <c r="H1779" t="str">
        <f t="shared" si="27"/>
        <v/>
      </c>
    </row>
    <row r="1780" spans="1:8" ht="19.95" customHeight="1">
      <c r="A1780" s="5" t="str">
        <f>IF($G1780="","",INDEX('EDS Lookup'!$D$6:$D$2819,$G1780))</f>
        <v/>
      </c>
      <c r="B1780" s="5" t="str">
        <f>IF($G1780="","",INDEX('EDS Lookup'!$B$6:$B$2819,$G1780))</f>
        <v/>
      </c>
      <c r="C1780" s="17"/>
      <c r="D1780" s="6"/>
      <c r="E1780" s="7" t="str">
        <f>IF($G1780="","",INDEX('EDS Lookup'!$F$6:$F$2819,$G1780))</f>
        <v/>
      </c>
      <c r="F1780" s="8" t="str">
        <f>IF($G1780="","",INDEX('EDS Lookup'!$G$6:$G$2819,$G1780))</f>
        <v/>
      </c>
      <c r="G1780" t="str">
        <f>IF(1757&lt;=$B$4,IFERROR(MATCH(1757,'EDS Lookup'!$H$6:$H$2819,0),""),"")</f>
        <v/>
      </c>
      <c r="H1780" t="str">
        <f t="shared" si="27"/>
        <v/>
      </c>
    </row>
    <row r="1781" spans="1:8" ht="19.95" customHeight="1">
      <c r="A1781" s="5" t="str">
        <f>IF($G1781="","",INDEX('EDS Lookup'!$D$6:$D$2819,$G1781))</f>
        <v/>
      </c>
      <c r="B1781" s="5" t="str">
        <f>IF($G1781="","",INDEX('EDS Lookup'!$B$6:$B$2819,$G1781))</f>
        <v/>
      </c>
      <c r="C1781" s="17"/>
      <c r="D1781" s="6"/>
      <c r="E1781" s="7" t="str">
        <f>IF($G1781="","",INDEX('EDS Lookup'!$F$6:$F$2819,$G1781))</f>
        <v/>
      </c>
      <c r="F1781" s="8" t="str">
        <f>IF($G1781="","",INDEX('EDS Lookup'!$G$6:$G$2819,$G1781))</f>
        <v/>
      </c>
      <c r="G1781" t="str">
        <f>IF(1758&lt;=$B$4,IFERROR(MATCH(1758,'EDS Lookup'!$H$6:$H$2819,0),""),"")</f>
        <v/>
      </c>
      <c r="H1781" t="str">
        <f t="shared" si="27"/>
        <v/>
      </c>
    </row>
    <row r="1782" spans="1:8" ht="19.95" customHeight="1">
      <c r="A1782" s="5" t="str">
        <f>IF($G1782="","",INDEX('EDS Lookup'!$D$6:$D$2819,$G1782))</f>
        <v/>
      </c>
      <c r="B1782" s="5" t="str">
        <f>IF($G1782="","",INDEX('EDS Lookup'!$B$6:$B$2819,$G1782))</f>
        <v/>
      </c>
      <c r="C1782" s="17"/>
      <c r="D1782" s="6"/>
      <c r="E1782" s="7" t="str">
        <f>IF($G1782="","",INDEX('EDS Lookup'!$F$6:$F$2819,$G1782))</f>
        <v/>
      </c>
      <c r="F1782" s="8" t="str">
        <f>IF($G1782="","",INDEX('EDS Lookup'!$G$6:$G$2819,$G1782))</f>
        <v/>
      </c>
      <c r="G1782" t="str">
        <f>IF(1759&lt;=$B$4,IFERROR(MATCH(1759,'EDS Lookup'!$H$6:$H$2819,0),""),"")</f>
        <v/>
      </c>
      <c r="H1782" t="str">
        <f t="shared" si="27"/>
        <v/>
      </c>
    </row>
    <row r="1783" spans="1:8" ht="19.95" customHeight="1">
      <c r="A1783" s="5" t="str">
        <f>IF($G1783="","",INDEX('EDS Lookup'!$D$6:$D$2819,$G1783))</f>
        <v/>
      </c>
      <c r="B1783" s="5" t="str">
        <f>IF($G1783="","",INDEX('EDS Lookup'!$B$6:$B$2819,$G1783))</f>
        <v/>
      </c>
      <c r="C1783" s="17"/>
      <c r="D1783" s="6"/>
      <c r="E1783" s="7" t="str">
        <f>IF($G1783="","",INDEX('EDS Lookup'!$F$6:$F$2819,$G1783))</f>
        <v/>
      </c>
      <c r="F1783" s="8" t="str">
        <f>IF($G1783="","",INDEX('EDS Lookup'!$G$6:$G$2819,$G1783))</f>
        <v/>
      </c>
      <c r="G1783" t="str">
        <f>IF(1760&lt;=$B$4,IFERROR(MATCH(1760,'EDS Lookup'!$H$6:$H$2819,0),""),"")</f>
        <v/>
      </c>
      <c r="H1783" t="str">
        <f t="shared" si="27"/>
        <v/>
      </c>
    </row>
    <row r="1784" spans="1:8" ht="19.95" customHeight="1">
      <c r="A1784" s="5" t="str">
        <f>IF($G1784="","",INDEX('EDS Lookup'!$D$6:$D$2819,$G1784))</f>
        <v/>
      </c>
      <c r="B1784" s="5" t="str">
        <f>IF($G1784="","",INDEX('EDS Lookup'!$B$6:$B$2819,$G1784))</f>
        <v/>
      </c>
      <c r="C1784" s="17"/>
      <c r="D1784" s="6"/>
      <c r="E1784" s="7" t="str">
        <f>IF($G1784="","",INDEX('EDS Lookup'!$F$6:$F$2819,$G1784))</f>
        <v/>
      </c>
      <c r="F1784" s="8" t="str">
        <f>IF($G1784="","",INDEX('EDS Lookup'!$G$6:$G$2819,$G1784))</f>
        <v/>
      </c>
      <c r="G1784" t="str">
        <f>IF(1761&lt;=$B$4,IFERROR(MATCH(1761,'EDS Lookup'!$H$6:$H$2819,0),""),"")</f>
        <v/>
      </c>
      <c r="H1784" t="str">
        <f t="shared" si="27"/>
        <v/>
      </c>
    </row>
    <row r="1785" spans="1:8" ht="19.95" customHeight="1">
      <c r="A1785" s="5" t="str">
        <f>IF($G1785="","",INDEX('EDS Lookup'!$D$6:$D$2819,$G1785))</f>
        <v/>
      </c>
      <c r="B1785" s="5" t="str">
        <f>IF($G1785="","",INDEX('EDS Lookup'!$B$6:$B$2819,$G1785))</f>
        <v/>
      </c>
      <c r="C1785" s="17"/>
      <c r="D1785" s="6"/>
      <c r="E1785" s="7" t="str">
        <f>IF($G1785="","",INDEX('EDS Lookup'!$F$6:$F$2819,$G1785))</f>
        <v/>
      </c>
      <c r="F1785" s="8" t="str">
        <f>IF($G1785="","",INDEX('EDS Lookup'!$G$6:$G$2819,$G1785))</f>
        <v/>
      </c>
      <c r="G1785" t="str">
        <f>IF(1762&lt;=$B$4,IFERROR(MATCH(1762,'EDS Lookup'!$H$6:$H$2819,0),""),"")</f>
        <v/>
      </c>
      <c r="H1785" t="str">
        <f t="shared" si="27"/>
        <v/>
      </c>
    </row>
    <row r="1786" spans="1:8" ht="19.95" customHeight="1">
      <c r="A1786" s="5" t="str">
        <f>IF($G1786="","",INDEX('EDS Lookup'!$D$6:$D$2819,$G1786))</f>
        <v/>
      </c>
      <c r="B1786" s="5" t="str">
        <f>IF($G1786="","",INDEX('EDS Lookup'!$B$6:$B$2819,$G1786))</f>
        <v/>
      </c>
      <c r="C1786" s="17"/>
      <c r="D1786" s="6"/>
      <c r="E1786" s="7" t="str">
        <f>IF($G1786="","",INDEX('EDS Lookup'!$F$6:$F$2819,$G1786))</f>
        <v/>
      </c>
      <c r="F1786" s="8" t="str">
        <f>IF($G1786="","",INDEX('EDS Lookup'!$G$6:$G$2819,$G1786))</f>
        <v/>
      </c>
      <c r="G1786" t="str">
        <f>IF(1763&lt;=$B$4,IFERROR(MATCH(1763,'EDS Lookup'!$H$6:$H$2819,0),""),"")</f>
        <v/>
      </c>
      <c r="H1786" t="str">
        <f t="shared" si="27"/>
        <v/>
      </c>
    </row>
    <row r="1787" spans="1:8" ht="19.95" customHeight="1">
      <c r="A1787" s="5" t="str">
        <f>IF($G1787="","",INDEX('EDS Lookup'!$D$6:$D$2819,$G1787))</f>
        <v/>
      </c>
      <c r="B1787" s="5" t="str">
        <f>IF($G1787="","",INDEX('EDS Lookup'!$B$6:$B$2819,$G1787))</f>
        <v/>
      </c>
      <c r="C1787" s="17"/>
      <c r="D1787" s="6"/>
      <c r="E1787" s="7" t="str">
        <f>IF($G1787="","",INDEX('EDS Lookup'!$F$6:$F$2819,$G1787))</f>
        <v/>
      </c>
      <c r="F1787" s="8" t="str">
        <f>IF($G1787="","",INDEX('EDS Lookup'!$G$6:$G$2819,$G1787))</f>
        <v/>
      </c>
      <c r="G1787" t="str">
        <f>IF(1764&lt;=$B$4,IFERROR(MATCH(1764,'EDS Lookup'!$H$6:$H$2819,0),""),"")</f>
        <v/>
      </c>
      <c r="H1787" t="str">
        <f t="shared" si="27"/>
        <v/>
      </c>
    </row>
    <row r="1788" spans="1:8" ht="19.95" customHeight="1">
      <c r="A1788" s="5" t="str">
        <f>IF($G1788="","",INDEX('EDS Lookup'!$D$6:$D$2819,$G1788))</f>
        <v/>
      </c>
      <c r="B1788" s="5" t="str">
        <f>IF($G1788="","",INDEX('EDS Lookup'!$B$6:$B$2819,$G1788))</f>
        <v/>
      </c>
      <c r="C1788" s="17"/>
      <c r="D1788" s="6"/>
      <c r="E1788" s="7" t="str">
        <f>IF($G1788="","",INDEX('EDS Lookup'!$F$6:$F$2819,$G1788))</f>
        <v/>
      </c>
      <c r="F1788" s="8" t="str">
        <f>IF($G1788="","",INDEX('EDS Lookup'!$G$6:$G$2819,$G1788))</f>
        <v/>
      </c>
      <c r="G1788" t="str">
        <f>IF(1765&lt;=$B$4,IFERROR(MATCH(1765,'EDS Lookup'!$H$6:$H$2819,0),""),"")</f>
        <v/>
      </c>
      <c r="H1788" t="str">
        <f t="shared" si="27"/>
        <v/>
      </c>
    </row>
    <row r="1789" spans="1:8" ht="19.95" customHeight="1">
      <c r="A1789" s="5" t="str">
        <f>IF($G1789="","",INDEX('EDS Lookup'!$D$6:$D$2819,$G1789))</f>
        <v/>
      </c>
      <c r="B1789" s="5" t="str">
        <f>IF($G1789="","",INDEX('EDS Lookup'!$B$6:$B$2819,$G1789))</f>
        <v/>
      </c>
      <c r="C1789" s="17"/>
      <c r="D1789" s="6"/>
      <c r="E1789" s="7" t="str">
        <f>IF($G1789="","",INDEX('EDS Lookup'!$F$6:$F$2819,$G1789))</f>
        <v/>
      </c>
      <c r="F1789" s="8" t="str">
        <f>IF($G1789="","",INDEX('EDS Lookup'!$G$6:$G$2819,$G1789))</f>
        <v/>
      </c>
      <c r="G1789" t="str">
        <f>IF(1766&lt;=$B$4,IFERROR(MATCH(1766,'EDS Lookup'!$H$6:$H$2819,0),""),"")</f>
        <v/>
      </c>
      <c r="H1789" t="str">
        <f t="shared" si="27"/>
        <v/>
      </c>
    </row>
    <row r="1790" spans="1:8" ht="19.95" customHeight="1">
      <c r="A1790" s="5" t="str">
        <f>IF($G1790="","",INDEX('EDS Lookup'!$D$6:$D$2819,$G1790))</f>
        <v/>
      </c>
      <c r="B1790" s="5" t="str">
        <f>IF($G1790="","",INDEX('EDS Lookup'!$B$6:$B$2819,$G1790))</f>
        <v/>
      </c>
      <c r="C1790" s="17"/>
      <c r="D1790" s="6"/>
      <c r="E1790" s="7" t="str">
        <f>IF($G1790="","",INDEX('EDS Lookup'!$F$6:$F$2819,$G1790))</f>
        <v/>
      </c>
      <c r="F1790" s="8" t="str">
        <f>IF($G1790="","",INDEX('EDS Lookup'!$G$6:$G$2819,$G1790))</f>
        <v/>
      </c>
      <c r="G1790" t="str">
        <f>IF(1767&lt;=$B$4,IFERROR(MATCH(1767,'EDS Lookup'!$H$6:$H$2819,0),""),"")</f>
        <v/>
      </c>
      <c r="H1790" t="str">
        <f t="shared" si="27"/>
        <v/>
      </c>
    </row>
    <row r="1791" spans="1:8" ht="19.95" customHeight="1">
      <c r="A1791" s="5" t="str">
        <f>IF($G1791="","",INDEX('EDS Lookup'!$D$6:$D$2819,$G1791))</f>
        <v/>
      </c>
      <c r="B1791" s="5" t="str">
        <f>IF($G1791="","",INDEX('EDS Lookup'!$B$6:$B$2819,$G1791))</f>
        <v/>
      </c>
      <c r="C1791" s="17"/>
      <c r="D1791" s="6"/>
      <c r="E1791" s="7" t="str">
        <f>IF($G1791="","",INDEX('EDS Lookup'!$F$6:$F$2819,$G1791))</f>
        <v/>
      </c>
      <c r="F1791" s="8" t="str">
        <f>IF($G1791="","",INDEX('EDS Lookup'!$G$6:$G$2819,$G1791))</f>
        <v/>
      </c>
      <c r="G1791" t="str">
        <f>IF(1768&lt;=$B$4,IFERROR(MATCH(1768,'EDS Lookup'!$H$6:$H$2819,0),""),"")</f>
        <v/>
      </c>
      <c r="H1791" t="str">
        <f t="shared" si="27"/>
        <v/>
      </c>
    </row>
    <row r="1792" spans="1:8" ht="19.95" customHeight="1">
      <c r="A1792" s="5" t="str">
        <f>IF($G1792="","",INDEX('EDS Lookup'!$D$6:$D$2819,$G1792))</f>
        <v/>
      </c>
      <c r="B1792" s="5" t="str">
        <f>IF($G1792="","",INDEX('EDS Lookup'!$B$6:$B$2819,$G1792))</f>
        <v/>
      </c>
      <c r="C1792" s="17"/>
      <c r="D1792" s="6"/>
      <c r="E1792" s="7" t="str">
        <f>IF($G1792="","",INDEX('EDS Lookup'!$F$6:$F$2819,$G1792))</f>
        <v/>
      </c>
      <c r="F1792" s="8" t="str">
        <f>IF($G1792="","",INDEX('EDS Lookup'!$G$6:$G$2819,$G1792))</f>
        <v/>
      </c>
      <c r="G1792" t="str">
        <f>IF(1769&lt;=$B$4,IFERROR(MATCH(1769,'EDS Lookup'!$H$6:$H$2819,0),""),"")</f>
        <v/>
      </c>
      <c r="H1792" t="str">
        <f t="shared" si="27"/>
        <v/>
      </c>
    </row>
    <row r="1793" spans="1:8" ht="19.95" customHeight="1">
      <c r="A1793" s="5" t="str">
        <f>IF($G1793="","",INDEX('EDS Lookup'!$D$6:$D$2819,$G1793))</f>
        <v/>
      </c>
      <c r="B1793" s="5" t="str">
        <f>IF($G1793="","",INDEX('EDS Lookup'!$B$6:$B$2819,$G1793))</f>
        <v/>
      </c>
      <c r="C1793" s="17"/>
      <c r="D1793" s="6"/>
      <c r="E1793" s="7" t="str">
        <f>IF($G1793="","",INDEX('EDS Lookup'!$F$6:$F$2819,$G1793))</f>
        <v/>
      </c>
      <c r="F1793" s="8" t="str">
        <f>IF($G1793="","",INDEX('EDS Lookup'!$G$6:$G$2819,$G1793))</f>
        <v/>
      </c>
      <c r="G1793" t="str">
        <f>IF(1770&lt;=$B$4,IFERROR(MATCH(1770,'EDS Lookup'!$H$6:$H$2819,0),""),"")</f>
        <v/>
      </c>
      <c r="H1793" t="str">
        <f t="shared" si="27"/>
        <v/>
      </c>
    </row>
    <row r="1794" spans="1:8" ht="19.95" customHeight="1">
      <c r="A1794" s="5" t="str">
        <f>IF($G1794="","",INDEX('EDS Lookup'!$D$6:$D$2819,$G1794))</f>
        <v/>
      </c>
      <c r="B1794" s="5" t="str">
        <f>IF($G1794="","",INDEX('EDS Lookup'!$B$6:$B$2819,$G1794))</f>
        <v/>
      </c>
      <c r="C1794" s="17"/>
      <c r="D1794" s="6"/>
      <c r="E1794" s="7" t="str">
        <f>IF($G1794="","",INDEX('EDS Lookup'!$F$6:$F$2819,$G1794))</f>
        <v/>
      </c>
      <c r="F1794" s="8" t="str">
        <f>IF($G1794="","",INDEX('EDS Lookup'!$G$6:$G$2819,$G1794))</f>
        <v/>
      </c>
      <c r="G1794" t="str">
        <f>IF(1771&lt;=$B$4,IFERROR(MATCH(1771,'EDS Lookup'!$H$6:$H$2819,0),""),"")</f>
        <v/>
      </c>
      <c r="H1794" t="str">
        <f t="shared" si="27"/>
        <v/>
      </c>
    </row>
    <row r="1795" spans="1:8" ht="19.95" customHeight="1">
      <c r="A1795" s="5" t="str">
        <f>IF($G1795="","",INDEX('EDS Lookup'!$D$6:$D$2819,$G1795))</f>
        <v/>
      </c>
      <c r="B1795" s="5" t="str">
        <f>IF($G1795="","",INDEX('EDS Lookup'!$B$6:$B$2819,$G1795))</f>
        <v/>
      </c>
      <c r="C1795" s="17"/>
      <c r="D1795" s="6"/>
      <c r="E1795" s="7" t="str">
        <f>IF($G1795="","",INDEX('EDS Lookup'!$F$6:$F$2819,$G1795))</f>
        <v/>
      </c>
      <c r="F1795" s="8" t="str">
        <f>IF($G1795="","",INDEX('EDS Lookup'!$G$6:$G$2819,$G1795))</f>
        <v/>
      </c>
      <c r="G1795" t="str">
        <f>IF(1772&lt;=$B$4,IFERROR(MATCH(1772,'EDS Lookup'!$H$6:$H$2819,0),""),"")</f>
        <v/>
      </c>
      <c r="H1795" t="str">
        <f t="shared" si="27"/>
        <v/>
      </c>
    </row>
    <row r="1796" spans="1:8" ht="19.95" customHeight="1">
      <c r="A1796" s="5" t="str">
        <f>IF($G1796="","",INDEX('EDS Lookup'!$D$6:$D$2819,$G1796))</f>
        <v/>
      </c>
      <c r="B1796" s="5" t="str">
        <f>IF($G1796="","",INDEX('EDS Lookup'!$B$6:$B$2819,$G1796))</f>
        <v/>
      </c>
      <c r="C1796" s="17"/>
      <c r="D1796" s="6"/>
      <c r="E1796" s="7" t="str">
        <f>IF($G1796="","",INDEX('EDS Lookup'!$F$6:$F$2819,$G1796))</f>
        <v/>
      </c>
      <c r="F1796" s="8" t="str">
        <f>IF($G1796="","",INDEX('EDS Lookup'!$G$6:$G$2819,$G1796))</f>
        <v/>
      </c>
      <c r="G1796" t="str">
        <f>IF(1773&lt;=$B$4,IFERROR(MATCH(1773,'EDS Lookup'!$H$6:$H$2819,0),""),"")</f>
        <v/>
      </c>
      <c r="H1796" t="str">
        <f t="shared" si="27"/>
        <v/>
      </c>
    </row>
    <row r="1797" spans="1:8" ht="19.95" customHeight="1">
      <c r="A1797" s="5" t="str">
        <f>IF($G1797="","",INDEX('EDS Lookup'!$D$6:$D$2819,$G1797))</f>
        <v/>
      </c>
      <c r="B1797" s="5" t="str">
        <f>IF($G1797="","",INDEX('EDS Lookup'!$B$6:$B$2819,$G1797))</f>
        <v/>
      </c>
      <c r="C1797" s="17"/>
      <c r="D1797" s="6"/>
      <c r="E1797" s="7" t="str">
        <f>IF($G1797="","",INDEX('EDS Lookup'!$F$6:$F$2819,$G1797))</f>
        <v/>
      </c>
      <c r="F1797" s="8" t="str">
        <f>IF($G1797="","",INDEX('EDS Lookup'!$G$6:$G$2819,$G1797))</f>
        <v/>
      </c>
      <c r="G1797" t="str">
        <f>IF(1774&lt;=$B$4,IFERROR(MATCH(1774,'EDS Lookup'!$H$6:$H$2819,0),""),"")</f>
        <v/>
      </c>
      <c r="H1797" t="str">
        <f t="shared" si="27"/>
        <v/>
      </c>
    </row>
    <row r="1798" spans="1:8" ht="19.95" customHeight="1">
      <c r="A1798" s="5" t="str">
        <f>IF($G1798="","",INDEX('EDS Lookup'!$D$6:$D$2819,$G1798))</f>
        <v/>
      </c>
      <c r="B1798" s="5" t="str">
        <f>IF($G1798="","",INDEX('EDS Lookup'!$B$6:$B$2819,$G1798))</f>
        <v/>
      </c>
      <c r="C1798" s="17"/>
      <c r="D1798" s="6"/>
      <c r="E1798" s="7" t="str">
        <f>IF($G1798="","",INDEX('EDS Lookup'!$F$6:$F$2819,$G1798))</f>
        <v/>
      </c>
      <c r="F1798" s="8" t="str">
        <f>IF($G1798="","",INDEX('EDS Lookup'!$G$6:$G$2819,$G1798))</f>
        <v/>
      </c>
      <c r="G1798" t="str">
        <f>IF(1775&lt;=$B$4,IFERROR(MATCH(1775,'EDS Lookup'!$H$6:$H$2819,0),""),"")</f>
        <v/>
      </c>
      <c r="H1798" t="str">
        <f t="shared" si="27"/>
        <v/>
      </c>
    </row>
    <row r="1799" spans="1:8" ht="19.95" customHeight="1">
      <c r="A1799" s="5" t="str">
        <f>IF($G1799="","",INDEX('EDS Lookup'!$D$6:$D$2819,$G1799))</f>
        <v/>
      </c>
      <c r="B1799" s="5" t="str">
        <f>IF($G1799="","",INDEX('EDS Lookup'!$B$6:$B$2819,$G1799))</f>
        <v/>
      </c>
      <c r="C1799" s="17"/>
      <c r="D1799" s="6"/>
      <c r="E1799" s="7" t="str">
        <f>IF($G1799="","",INDEX('EDS Lookup'!$F$6:$F$2819,$G1799))</f>
        <v/>
      </c>
      <c r="F1799" s="8" t="str">
        <f>IF($G1799="","",INDEX('EDS Lookup'!$G$6:$G$2819,$G1799))</f>
        <v/>
      </c>
      <c r="G1799" t="str">
        <f>IF(1776&lt;=$B$4,IFERROR(MATCH(1776,'EDS Lookup'!$H$6:$H$2819,0),""),"")</f>
        <v/>
      </c>
      <c r="H1799" t="str">
        <f t="shared" si="27"/>
        <v/>
      </c>
    </row>
    <row r="1800" spans="1:8" ht="19.95" customHeight="1">
      <c r="A1800" s="5" t="str">
        <f>IF($G1800="","",INDEX('EDS Lookup'!$D$6:$D$2819,$G1800))</f>
        <v/>
      </c>
      <c r="B1800" s="5" t="str">
        <f>IF($G1800="","",INDEX('EDS Lookup'!$B$6:$B$2819,$G1800))</f>
        <v/>
      </c>
      <c r="C1800" s="17"/>
      <c r="D1800" s="6"/>
      <c r="E1800" s="7" t="str">
        <f>IF($G1800="","",INDEX('EDS Lookup'!$F$6:$F$2819,$G1800))</f>
        <v/>
      </c>
      <c r="F1800" s="8" t="str">
        <f>IF($G1800="","",INDEX('EDS Lookup'!$G$6:$G$2819,$G1800))</f>
        <v/>
      </c>
      <c r="G1800" t="str">
        <f>IF(1777&lt;=$B$4,IFERROR(MATCH(1777,'EDS Lookup'!$H$6:$H$2819,0),""),"")</f>
        <v/>
      </c>
      <c r="H1800" t="str">
        <f t="shared" si="27"/>
        <v/>
      </c>
    </row>
    <row r="1801" spans="1:8" ht="19.95" customHeight="1">
      <c r="A1801" s="5" t="str">
        <f>IF($G1801="","",INDEX('EDS Lookup'!$D$6:$D$2819,$G1801))</f>
        <v/>
      </c>
      <c r="B1801" s="5" t="str">
        <f>IF($G1801="","",INDEX('EDS Lookup'!$B$6:$B$2819,$G1801))</f>
        <v/>
      </c>
      <c r="C1801" s="17"/>
      <c r="D1801" s="6"/>
      <c r="E1801" s="7" t="str">
        <f>IF($G1801="","",INDEX('EDS Lookup'!$F$6:$F$2819,$G1801))</f>
        <v/>
      </c>
      <c r="F1801" s="8" t="str">
        <f>IF($G1801="","",INDEX('EDS Lookup'!$G$6:$G$2819,$G1801))</f>
        <v/>
      </c>
      <c r="G1801" t="str">
        <f>IF(1778&lt;=$B$4,IFERROR(MATCH(1778,'EDS Lookup'!$H$6:$H$2819,0),""),"")</f>
        <v/>
      </c>
      <c r="H1801" t="str">
        <f t="shared" si="27"/>
        <v/>
      </c>
    </row>
    <row r="1802" spans="1:8" ht="19.95" customHeight="1">
      <c r="A1802" s="5" t="str">
        <f>IF($G1802="","",INDEX('EDS Lookup'!$D$6:$D$2819,$G1802))</f>
        <v/>
      </c>
      <c r="B1802" s="5" t="str">
        <f>IF($G1802="","",INDEX('EDS Lookup'!$B$6:$B$2819,$G1802))</f>
        <v/>
      </c>
      <c r="C1802" s="17"/>
      <c r="D1802" s="6"/>
      <c r="E1802" s="7" t="str">
        <f>IF($G1802="","",INDEX('EDS Lookup'!$F$6:$F$2819,$G1802))</f>
        <v/>
      </c>
      <c r="F1802" s="8" t="str">
        <f>IF($G1802="","",INDEX('EDS Lookup'!$G$6:$G$2819,$G1802))</f>
        <v/>
      </c>
      <c r="G1802" t="str">
        <f>IF(1779&lt;=$B$4,IFERROR(MATCH(1779,'EDS Lookup'!$H$6:$H$2819,0),""),"")</f>
        <v/>
      </c>
      <c r="H1802" t="str">
        <f t="shared" si="27"/>
        <v/>
      </c>
    </row>
    <row r="1803" spans="1:8" ht="19.95" customHeight="1">
      <c r="A1803" s="5" t="str">
        <f>IF($G1803="","",INDEX('EDS Lookup'!$D$6:$D$2819,$G1803))</f>
        <v/>
      </c>
      <c r="B1803" s="5" t="str">
        <f>IF($G1803="","",INDEX('EDS Lookup'!$B$6:$B$2819,$G1803))</f>
        <v/>
      </c>
      <c r="C1803" s="17"/>
      <c r="D1803" s="6"/>
      <c r="E1803" s="7" t="str">
        <f>IF($G1803="","",INDEX('EDS Lookup'!$F$6:$F$2819,$G1803))</f>
        <v/>
      </c>
      <c r="F1803" s="8" t="str">
        <f>IF($G1803="","",INDEX('EDS Lookup'!$G$6:$G$2819,$G1803))</f>
        <v/>
      </c>
      <c r="G1803" t="str">
        <f>IF(1780&lt;=$B$4,IFERROR(MATCH(1780,'EDS Lookup'!$H$6:$H$2819,0),""),"")</f>
        <v/>
      </c>
      <c r="H1803" t="str">
        <f t="shared" si="27"/>
        <v/>
      </c>
    </row>
    <row r="1804" spans="1:8" ht="19.95" customHeight="1">
      <c r="A1804" s="5" t="str">
        <f>IF($G1804="","",INDEX('EDS Lookup'!$D$6:$D$2819,$G1804))</f>
        <v/>
      </c>
      <c r="B1804" s="5" t="str">
        <f>IF($G1804="","",INDEX('EDS Lookup'!$B$6:$B$2819,$G1804))</f>
        <v/>
      </c>
      <c r="C1804" s="17"/>
      <c r="D1804" s="6"/>
      <c r="E1804" s="7" t="str">
        <f>IF($G1804="","",INDEX('EDS Lookup'!$F$6:$F$2819,$G1804))</f>
        <v/>
      </c>
      <c r="F1804" s="8" t="str">
        <f>IF($G1804="","",INDEX('EDS Lookup'!$G$6:$G$2819,$G1804))</f>
        <v/>
      </c>
      <c r="G1804" t="str">
        <f>IF(1781&lt;=$B$4,IFERROR(MATCH(1781,'EDS Lookup'!$H$6:$H$2819,0),""),"")</f>
        <v/>
      </c>
      <c r="H1804" t="str">
        <f t="shared" si="27"/>
        <v/>
      </c>
    </row>
    <row r="1805" spans="1:8" ht="19.95" customHeight="1">
      <c r="A1805" s="5" t="str">
        <f>IF($G1805="","",INDEX('EDS Lookup'!$D$6:$D$2819,$G1805))</f>
        <v/>
      </c>
      <c r="B1805" s="5" t="str">
        <f>IF($G1805="","",INDEX('EDS Lookup'!$B$6:$B$2819,$G1805))</f>
        <v/>
      </c>
      <c r="C1805" s="17"/>
      <c r="D1805" s="6"/>
      <c r="E1805" s="7" t="str">
        <f>IF($G1805="","",INDEX('EDS Lookup'!$F$6:$F$2819,$G1805))</f>
        <v/>
      </c>
      <c r="F1805" s="8" t="str">
        <f>IF($G1805="","",INDEX('EDS Lookup'!$G$6:$G$2819,$G1805))</f>
        <v/>
      </c>
      <c r="G1805" t="str">
        <f>IF(1782&lt;=$B$4,IFERROR(MATCH(1782,'EDS Lookup'!$H$6:$H$2819,0),""),"")</f>
        <v/>
      </c>
      <c r="H1805" t="str">
        <f t="shared" si="27"/>
        <v/>
      </c>
    </row>
    <row r="1806" spans="1:8" ht="19.95" customHeight="1">
      <c r="A1806" s="5" t="str">
        <f>IF($G1806="","",INDEX('EDS Lookup'!$D$6:$D$2819,$G1806))</f>
        <v/>
      </c>
      <c r="B1806" s="5" t="str">
        <f>IF($G1806="","",INDEX('EDS Lookup'!$B$6:$B$2819,$G1806))</f>
        <v/>
      </c>
      <c r="C1806" s="17"/>
      <c r="D1806" s="6"/>
      <c r="E1806" s="7" t="str">
        <f>IF($G1806="","",INDEX('EDS Lookup'!$F$6:$F$2819,$G1806))</f>
        <v/>
      </c>
      <c r="F1806" s="8" t="str">
        <f>IF($G1806="","",INDEX('EDS Lookup'!$G$6:$G$2819,$G1806))</f>
        <v/>
      </c>
      <c r="G1806" t="str">
        <f>IF(1783&lt;=$B$4,IFERROR(MATCH(1783,'EDS Lookup'!$H$6:$H$2819,0),""),"")</f>
        <v/>
      </c>
      <c r="H1806" t="str">
        <f t="shared" si="27"/>
        <v/>
      </c>
    </row>
    <row r="1807" spans="1:8" ht="19.95" customHeight="1">
      <c r="A1807" s="5" t="str">
        <f>IF($G1807="","",INDEX('EDS Lookup'!$D$6:$D$2819,$G1807))</f>
        <v/>
      </c>
      <c r="B1807" s="5" t="str">
        <f>IF($G1807="","",INDEX('EDS Lookup'!$B$6:$B$2819,$G1807))</f>
        <v/>
      </c>
      <c r="C1807" s="17"/>
      <c r="D1807" s="6"/>
      <c r="E1807" s="7" t="str">
        <f>IF($G1807="","",INDEX('EDS Lookup'!$F$6:$F$2819,$G1807))</f>
        <v/>
      </c>
      <c r="F1807" s="8" t="str">
        <f>IF($G1807="","",INDEX('EDS Lookup'!$G$6:$G$2819,$G1807))</f>
        <v/>
      </c>
      <c r="G1807" t="str">
        <f>IF(1784&lt;=$B$4,IFERROR(MATCH(1784,'EDS Lookup'!$H$6:$H$2819,0),""),"")</f>
        <v/>
      </c>
      <c r="H1807" t="str">
        <f t="shared" si="27"/>
        <v/>
      </c>
    </row>
    <row r="1808" spans="1:8" ht="19.95" customHeight="1">
      <c r="A1808" s="5" t="str">
        <f>IF($G1808="","",INDEX('EDS Lookup'!$D$6:$D$2819,$G1808))</f>
        <v/>
      </c>
      <c r="B1808" s="5" t="str">
        <f>IF($G1808="","",INDEX('EDS Lookup'!$B$6:$B$2819,$G1808))</f>
        <v/>
      </c>
      <c r="C1808" s="17"/>
      <c r="D1808" s="6"/>
      <c r="E1808" s="7" t="str">
        <f>IF($G1808="","",INDEX('EDS Lookup'!$F$6:$F$2819,$G1808))</f>
        <v/>
      </c>
      <c r="F1808" s="8" t="str">
        <f>IF($G1808="","",INDEX('EDS Lookup'!$G$6:$G$2819,$G1808))</f>
        <v/>
      </c>
      <c r="G1808" t="str">
        <f>IF(1785&lt;=$B$4,IFERROR(MATCH(1785,'EDS Lookup'!$H$6:$H$2819,0),""),"")</f>
        <v/>
      </c>
      <c r="H1808" t="str">
        <f t="shared" si="27"/>
        <v/>
      </c>
    </row>
    <row r="1809" spans="1:8" ht="19.95" customHeight="1">
      <c r="A1809" s="5" t="str">
        <f>IF($G1809="","",INDEX('EDS Lookup'!$D$6:$D$2819,$G1809))</f>
        <v/>
      </c>
      <c r="B1809" s="5" t="str">
        <f>IF($G1809="","",INDEX('EDS Lookup'!$B$6:$B$2819,$G1809))</f>
        <v/>
      </c>
      <c r="C1809" s="17"/>
      <c r="D1809" s="6"/>
      <c r="E1809" s="7" t="str">
        <f>IF($G1809="","",INDEX('EDS Lookup'!$F$6:$F$2819,$G1809))</f>
        <v/>
      </c>
      <c r="F1809" s="8" t="str">
        <f>IF($G1809="","",INDEX('EDS Lookup'!$G$6:$G$2819,$G1809))</f>
        <v/>
      </c>
      <c r="G1809" t="str">
        <f>IF(1786&lt;=$B$4,IFERROR(MATCH(1786,'EDS Lookup'!$H$6:$H$2819,0),""),"")</f>
        <v/>
      </c>
      <c r="H1809" t="str">
        <f t="shared" si="27"/>
        <v/>
      </c>
    </row>
    <row r="1810" spans="1:8" ht="19.95" customHeight="1">
      <c r="A1810" s="5" t="str">
        <f>IF($G1810="","",INDEX('EDS Lookup'!$D$6:$D$2819,$G1810))</f>
        <v/>
      </c>
      <c r="B1810" s="5" t="str">
        <f>IF($G1810="","",INDEX('EDS Lookup'!$B$6:$B$2819,$G1810))</f>
        <v/>
      </c>
      <c r="C1810" s="17"/>
      <c r="D1810" s="6"/>
      <c r="E1810" s="7" t="str">
        <f>IF($G1810="","",INDEX('EDS Lookup'!$F$6:$F$2819,$G1810))</f>
        <v/>
      </c>
      <c r="F1810" s="8" t="str">
        <f>IF($G1810="","",INDEX('EDS Lookup'!$G$6:$G$2819,$G1810))</f>
        <v/>
      </c>
      <c r="G1810" t="str">
        <f>IF(1787&lt;=$B$4,IFERROR(MATCH(1787,'EDS Lookup'!$H$6:$H$2819,0),""),"")</f>
        <v/>
      </c>
      <c r="H1810" t="str">
        <f t="shared" si="27"/>
        <v/>
      </c>
    </row>
    <row r="1811" spans="1:8" ht="19.95" customHeight="1">
      <c r="A1811" s="5" t="str">
        <f>IF($G1811="","",INDEX('EDS Lookup'!$D$6:$D$2819,$G1811))</f>
        <v/>
      </c>
      <c r="B1811" s="5" t="str">
        <f>IF($G1811="","",INDEX('EDS Lookup'!$B$6:$B$2819,$G1811))</f>
        <v/>
      </c>
      <c r="C1811" s="17"/>
      <c r="D1811" s="6"/>
      <c r="E1811" s="7" t="str">
        <f>IF($G1811="","",INDEX('EDS Lookup'!$F$6:$F$2819,$G1811))</f>
        <v/>
      </c>
      <c r="F1811" s="8" t="str">
        <f>IF($G1811="","",INDEX('EDS Lookup'!$G$6:$G$2819,$G1811))</f>
        <v/>
      </c>
      <c r="G1811" t="str">
        <f>IF(1788&lt;=$B$4,IFERROR(MATCH(1788,'EDS Lookup'!$H$6:$H$2819,0),""),"")</f>
        <v/>
      </c>
      <c r="H1811" t="str">
        <f t="shared" si="27"/>
        <v/>
      </c>
    </row>
    <row r="1812" spans="1:8" ht="19.95" customHeight="1">
      <c r="A1812" s="5" t="str">
        <f>IF($G1812="","",INDEX('EDS Lookup'!$D$6:$D$2819,$G1812))</f>
        <v/>
      </c>
      <c r="B1812" s="5" t="str">
        <f>IF($G1812="","",INDEX('EDS Lookup'!$B$6:$B$2819,$G1812))</f>
        <v/>
      </c>
      <c r="C1812" s="17"/>
      <c r="D1812" s="6"/>
      <c r="E1812" s="7" t="str">
        <f>IF($G1812="","",INDEX('EDS Lookup'!$F$6:$F$2819,$G1812))</f>
        <v/>
      </c>
      <c r="F1812" s="8" t="str">
        <f>IF($G1812="","",INDEX('EDS Lookup'!$G$6:$G$2819,$G1812))</f>
        <v/>
      </c>
      <c r="G1812" t="str">
        <f>IF(1789&lt;=$B$4,IFERROR(MATCH(1789,'EDS Lookup'!$H$6:$H$2819,0),""),"")</f>
        <v/>
      </c>
      <c r="H1812" t="str">
        <f t="shared" si="27"/>
        <v/>
      </c>
    </row>
    <row r="1813" spans="1:8" ht="19.95" customHeight="1">
      <c r="A1813" s="5" t="str">
        <f>IF($G1813="","",INDEX('EDS Lookup'!$D$6:$D$2819,$G1813))</f>
        <v/>
      </c>
      <c r="B1813" s="5" t="str">
        <f>IF($G1813="","",INDEX('EDS Lookup'!$B$6:$B$2819,$G1813))</f>
        <v/>
      </c>
      <c r="C1813" s="17"/>
      <c r="D1813" s="6"/>
      <c r="E1813" s="7" t="str">
        <f>IF($G1813="","",INDEX('EDS Lookup'!$F$6:$F$2819,$G1813))</f>
        <v/>
      </c>
      <c r="F1813" s="8" t="str">
        <f>IF($G1813="","",INDEX('EDS Lookup'!$G$6:$G$2819,$G1813))</f>
        <v/>
      </c>
      <c r="G1813" t="str">
        <f>IF(1790&lt;=$B$4,IFERROR(MATCH(1790,'EDS Lookup'!$H$6:$H$2819,0),""),"")</f>
        <v/>
      </c>
      <c r="H1813" t="str">
        <f t="shared" si="27"/>
        <v/>
      </c>
    </row>
    <row r="1814" spans="1:8" ht="19.95" customHeight="1">
      <c r="A1814" s="5" t="str">
        <f>IF($G1814="","",INDEX('EDS Lookup'!$D$6:$D$2819,$G1814))</f>
        <v/>
      </c>
      <c r="B1814" s="5" t="str">
        <f>IF($G1814="","",INDEX('EDS Lookup'!$B$6:$B$2819,$G1814))</f>
        <v/>
      </c>
      <c r="C1814" s="17"/>
      <c r="D1814" s="6"/>
      <c r="E1814" s="7" t="str">
        <f>IF($G1814="","",INDEX('EDS Lookup'!$F$6:$F$2819,$G1814))</f>
        <v/>
      </c>
      <c r="F1814" s="8" t="str">
        <f>IF($G1814="","",INDEX('EDS Lookup'!$G$6:$G$2819,$G1814))</f>
        <v/>
      </c>
      <c r="G1814" t="str">
        <f>IF(1791&lt;=$B$4,IFERROR(MATCH(1791,'EDS Lookup'!$H$6:$H$2819,0),""),"")</f>
        <v/>
      </c>
      <c r="H1814" t="str">
        <f t="shared" si="27"/>
        <v/>
      </c>
    </row>
    <row r="1815" spans="1:8" ht="19.95" customHeight="1">
      <c r="A1815" s="5" t="str">
        <f>IF($G1815="","",INDEX('EDS Lookup'!$D$6:$D$2819,$G1815))</f>
        <v/>
      </c>
      <c r="B1815" s="5" t="str">
        <f>IF($G1815="","",INDEX('EDS Lookup'!$B$6:$B$2819,$G1815))</f>
        <v/>
      </c>
      <c r="C1815" s="17"/>
      <c r="D1815" s="6"/>
      <c r="E1815" s="7" t="str">
        <f>IF($G1815="","",INDEX('EDS Lookup'!$F$6:$F$2819,$G1815))</f>
        <v/>
      </c>
      <c r="F1815" s="8" t="str">
        <f>IF($G1815="","",INDEX('EDS Lookup'!$G$6:$G$2819,$G1815))</f>
        <v/>
      </c>
      <c r="G1815" t="str">
        <f>IF(1792&lt;=$B$4,IFERROR(MATCH(1792,'EDS Lookup'!$H$6:$H$2819,0),""),"")</f>
        <v/>
      </c>
      <c r="H1815" t="str">
        <f t="shared" si="27"/>
        <v/>
      </c>
    </row>
    <row r="1816" spans="1:8" ht="19.95" customHeight="1">
      <c r="A1816" s="5" t="str">
        <f>IF($G1816="","",INDEX('EDS Lookup'!$D$6:$D$2819,$G1816))</f>
        <v/>
      </c>
      <c r="B1816" s="5" t="str">
        <f>IF($G1816="","",INDEX('EDS Lookup'!$B$6:$B$2819,$G1816))</f>
        <v/>
      </c>
      <c r="C1816" s="17"/>
      <c r="D1816" s="6"/>
      <c r="E1816" s="7" t="str">
        <f>IF($G1816="","",INDEX('EDS Lookup'!$F$6:$F$2819,$G1816))</f>
        <v/>
      </c>
      <c r="F1816" s="8" t="str">
        <f>IF($G1816="","",INDEX('EDS Lookup'!$G$6:$G$2819,$G1816))</f>
        <v/>
      </c>
      <c r="G1816" t="str">
        <f>IF(1793&lt;=$B$4,IFERROR(MATCH(1793,'EDS Lookup'!$H$6:$H$2819,0),""),"")</f>
        <v/>
      </c>
      <c r="H1816" t="str">
        <f t="shared" ref="H1816:H1879" si="28">IF(F1816="&lt;5",5,IF(F1816="&gt;95",95,IF(ISNUMBER(F1816),F1816,"")))</f>
        <v/>
      </c>
    </row>
    <row r="1817" spans="1:8" ht="19.95" customHeight="1">
      <c r="A1817" s="5" t="str">
        <f>IF($G1817="","",INDEX('EDS Lookup'!$D$6:$D$2819,$G1817))</f>
        <v/>
      </c>
      <c r="B1817" s="5" t="str">
        <f>IF($G1817="","",INDEX('EDS Lookup'!$B$6:$B$2819,$G1817))</f>
        <v/>
      </c>
      <c r="C1817" s="17"/>
      <c r="D1817" s="6"/>
      <c r="E1817" s="7" t="str">
        <f>IF($G1817="","",INDEX('EDS Lookup'!$F$6:$F$2819,$G1817))</f>
        <v/>
      </c>
      <c r="F1817" s="8" t="str">
        <f>IF($G1817="","",INDEX('EDS Lookup'!$G$6:$G$2819,$G1817))</f>
        <v/>
      </c>
      <c r="G1817" t="str">
        <f>IF(1794&lt;=$B$4,IFERROR(MATCH(1794,'EDS Lookup'!$H$6:$H$2819,0),""),"")</f>
        <v/>
      </c>
      <c r="H1817" t="str">
        <f t="shared" si="28"/>
        <v/>
      </c>
    </row>
    <row r="1818" spans="1:8" ht="19.95" customHeight="1">
      <c r="A1818" s="5" t="str">
        <f>IF($G1818="","",INDEX('EDS Lookup'!$D$6:$D$2819,$G1818))</f>
        <v/>
      </c>
      <c r="B1818" s="5" t="str">
        <f>IF($G1818="","",INDEX('EDS Lookup'!$B$6:$B$2819,$G1818))</f>
        <v/>
      </c>
      <c r="C1818" s="17"/>
      <c r="D1818" s="6"/>
      <c r="E1818" s="7" t="str">
        <f>IF($G1818="","",INDEX('EDS Lookup'!$F$6:$F$2819,$G1818))</f>
        <v/>
      </c>
      <c r="F1818" s="8" t="str">
        <f>IF($G1818="","",INDEX('EDS Lookup'!$G$6:$G$2819,$G1818))</f>
        <v/>
      </c>
      <c r="G1818" t="str">
        <f>IF(1795&lt;=$B$4,IFERROR(MATCH(1795,'EDS Lookup'!$H$6:$H$2819,0),""),"")</f>
        <v/>
      </c>
      <c r="H1818" t="str">
        <f t="shared" si="28"/>
        <v/>
      </c>
    </row>
    <row r="1819" spans="1:8" ht="19.95" customHeight="1">
      <c r="A1819" s="5" t="str">
        <f>IF($G1819="","",INDEX('EDS Lookup'!$D$6:$D$2819,$G1819))</f>
        <v/>
      </c>
      <c r="B1819" s="5" t="str">
        <f>IF($G1819="","",INDEX('EDS Lookup'!$B$6:$B$2819,$G1819))</f>
        <v/>
      </c>
      <c r="C1819" s="17"/>
      <c r="D1819" s="6"/>
      <c r="E1819" s="7" t="str">
        <f>IF($G1819="","",INDEX('EDS Lookup'!$F$6:$F$2819,$G1819))</f>
        <v/>
      </c>
      <c r="F1819" s="8" t="str">
        <f>IF($G1819="","",INDEX('EDS Lookup'!$G$6:$G$2819,$G1819))</f>
        <v/>
      </c>
      <c r="G1819" t="str">
        <f>IF(1796&lt;=$B$4,IFERROR(MATCH(1796,'EDS Lookup'!$H$6:$H$2819,0),""),"")</f>
        <v/>
      </c>
      <c r="H1819" t="str">
        <f t="shared" si="28"/>
        <v/>
      </c>
    </row>
    <row r="1820" spans="1:8" ht="19.95" customHeight="1">
      <c r="A1820" s="5" t="str">
        <f>IF($G1820="","",INDEX('EDS Lookup'!$D$6:$D$2819,$G1820))</f>
        <v/>
      </c>
      <c r="B1820" s="5" t="str">
        <f>IF($G1820="","",INDEX('EDS Lookup'!$B$6:$B$2819,$G1820))</f>
        <v/>
      </c>
      <c r="C1820" s="17"/>
      <c r="D1820" s="6"/>
      <c r="E1820" s="7" t="str">
        <f>IF($G1820="","",INDEX('EDS Lookup'!$F$6:$F$2819,$G1820))</f>
        <v/>
      </c>
      <c r="F1820" s="8" t="str">
        <f>IF($G1820="","",INDEX('EDS Lookup'!$G$6:$G$2819,$G1820))</f>
        <v/>
      </c>
      <c r="G1820" t="str">
        <f>IF(1797&lt;=$B$4,IFERROR(MATCH(1797,'EDS Lookup'!$H$6:$H$2819,0),""),"")</f>
        <v/>
      </c>
      <c r="H1820" t="str">
        <f t="shared" si="28"/>
        <v/>
      </c>
    </row>
    <row r="1821" spans="1:8" ht="19.95" customHeight="1">
      <c r="A1821" s="5" t="str">
        <f>IF($G1821="","",INDEX('EDS Lookup'!$D$6:$D$2819,$G1821))</f>
        <v/>
      </c>
      <c r="B1821" s="5" t="str">
        <f>IF($G1821="","",INDEX('EDS Lookup'!$B$6:$B$2819,$G1821))</f>
        <v/>
      </c>
      <c r="C1821" s="17"/>
      <c r="D1821" s="6"/>
      <c r="E1821" s="7" t="str">
        <f>IF($G1821="","",INDEX('EDS Lookup'!$F$6:$F$2819,$G1821))</f>
        <v/>
      </c>
      <c r="F1821" s="8" t="str">
        <f>IF($G1821="","",INDEX('EDS Lookup'!$G$6:$G$2819,$G1821))</f>
        <v/>
      </c>
      <c r="G1821" t="str">
        <f>IF(1798&lt;=$B$4,IFERROR(MATCH(1798,'EDS Lookup'!$H$6:$H$2819,0),""),"")</f>
        <v/>
      </c>
      <c r="H1821" t="str">
        <f t="shared" si="28"/>
        <v/>
      </c>
    </row>
    <row r="1822" spans="1:8" ht="19.95" customHeight="1">
      <c r="A1822" s="5" t="str">
        <f>IF($G1822="","",INDEX('EDS Lookup'!$D$6:$D$2819,$G1822))</f>
        <v/>
      </c>
      <c r="B1822" s="5" t="str">
        <f>IF($G1822="","",INDEX('EDS Lookup'!$B$6:$B$2819,$G1822))</f>
        <v/>
      </c>
      <c r="C1822" s="17"/>
      <c r="D1822" s="6"/>
      <c r="E1822" s="7" t="str">
        <f>IF($G1822="","",INDEX('EDS Lookup'!$F$6:$F$2819,$G1822))</f>
        <v/>
      </c>
      <c r="F1822" s="8" t="str">
        <f>IF($G1822="","",INDEX('EDS Lookup'!$G$6:$G$2819,$G1822))</f>
        <v/>
      </c>
      <c r="G1822" t="str">
        <f>IF(1799&lt;=$B$4,IFERROR(MATCH(1799,'EDS Lookup'!$H$6:$H$2819,0),""),"")</f>
        <v/>
      </c>
      <c r="H1822" t="str">
        <f t="shared" si="28"/>
        <v/>
      </c>
    </row>
    <row r="1823" spans="1:8" ht="19.95" customHeight="1">
      <c r="A1823" s="5" t="str">
        <f>IF($G1823="","",INDEX('EDS Lookup'!$D$6:$D$2819,$G1823))</f>
        <v/>
      </c>
      <c r="B1823" s="5" t="str">
        <f>IF($G1823="","",INDEX('EDS Lookup'!$B$6:$B$2819,$G1823))</f>
        <v/>
      </c>
      <c r="C1823" s="17"/>
      <c r="D1823" s="6"/>
      <c r="E1823" s="7" t="str">
        <f>IF($G1823="","",INDEX('EDS Lookup'!$F$6:$F$2819,$G1823))</f>
        <v/>
      </c>
      <c r="F1823" s="8" t="str">
        <f>IF($G1823="","",INDEX('EDS Lookup'!$G$6:$G$2819,$G1823))</f>
        <v/>
      </c>
      <c r="G1823" t="str">
        <f>IF(1800&lt;=$B$4,IFERROR(MATCH(1800,'EDS Lookup'!$H$6:$H$2819,0),""),"")</f>
        <v/>
      </c>
      <c r="H1823" t="str">
        <f t="shared" si="28"/>
        <v/>
      </c>
    </row>
    <row r="1824" spans="1:8" ht="19.95" customHeight="1">
      <c r="A1824" s="5" t="str">
        <f>IF($G1824="","",INDEX('EDS Lookup'!$D$6:$D$2819,$G1824))</f>
        <v/>
      </c>
      <c r="B1824" s="5" t="str">
        <f>IF($G1824="","",INDEX('EDS Lookup'!$B$6:$B$2819,$G1824))</f>
        <v/>
      </c>
      <c r="C1824" s="17"/>
      <c r="D1824" s="6"/>
      <c r="E1824" s="7" t="str">
        <f>IF($G1824="","",INDEX('EDS Lookup'!$F$6:$F$2819,$G1824))</f>
        <v/>
      </c>
      <c r="F1824" s="8" t="str">
        <f>IF($G1824="","",INDEX('EDS Lookup'!$G$6:$G$2819,$G1824))</f>
        <v/>
      </c>
      <c r="G1824" t="str">
        <f>IF(1801&lt;=$B$4,IFERROR(MATCH(1801,'EDS Lookup'!$H$6:$H$2819,0),""),"")</f>
        <v/>
      </c>
      <c r="H1824" t="str">
        <f t="shared" si="28"/>
        <v/>
      </c>
    </row>
    <row r="1825" spans="1:8" ht="19.95" customHeight="1">
      <c r="A1825" s="5" t="str">
        <f>IF($G1825="","",INDEX('EDS Lookup'!$D$6:$D$2819,$G1825))</f>
        <v/>
      </c>
      <c r="B1825" s="5" t="str">
        <f>IF($G1825="","",INDEX('EDS Lookup'!$B$6:$B$2819,$G1825))</f>
        <v/>
      </c>
      <c r="C1825" s="17"/>
      <c r="D1825" s="6"/>
      <c r="E1825" s="7" t="str">
        <f>IF($G1825="","",INDEX('EDS Lookup'!$F$6:$F$2819,$G1825))</f>
        <v/>
      </c>
      <c r="F1825" s="8" t="str">
        <f>IF($G1825="","",INDEX('EDS Lookup'!$G$6:$G$2819,$G1825))</f>
        <v/>
      </c>
      <c r="G1825" t="str">
        <f>IF(1802&lt;=$B$4,IFERROR(MATCH(1802,'EDS Lookup'!$H$6:$H$2819,0),""),"")</f>
        <v/>
      </c>
      <c r="H1825" t="str">
        <f t="shared" si="28"/>
        <v/>
      </c>
    </row>
    <row r="1826" spans="1:8" ht="19.95" customHeight="1">
      <c r="A1826" s="5" t="str">
        <f>IF($G1826="","",INDEX('EDS Lookup'!$D$6:$D$2819,$G1826))</f>
        <v/>
      </c>
      <c r="B1826" s="5" t="str">
        <f>IF($G1826="","",INDEX('EDS Lookup'!$B$6:$B$2819,$G1826))</f>
        <v/>
      </c>
      <c r="C1826" s="17"/>
      <c r="D1826" s="6"/>
      <c r="E1826" s="7" t="str">
        <f>IF($G1826="","",INDEX('EDS Lookup'!$F$6:$F$2819,$G1826))</f>
        <v/>
      </c>
      <c r="F1826" s="8" t="str">
        <f>IF($G1826="","",INDEX('EDS Lookup'!$G$6:$G$2819,$G1826))</f>
        <v/>
      </c>
      <c r="G1826" t="str">
        <f>IF(1803&lt;=$B$4,IFERROR(MATCH(1803,'EDS Lookup'!$H$6:$H$2819,0),""),"")</f>
        <v/>
      </c>
      <c r="H1826" t="str">
        <f t="shared" si="28"/>
        <v/>
      </c>
    </row>
    <row r="1827" spans="1:8" ht="19.95" customHeight="1">
      <c r="A1827" s="5" t="str">
        <f>IF($G1827="","",INDEX('EDS Lookup'!$D$6:$D$2819,$G1827))</f>
        <v/>
      </c>
      <c r="B1827" s="5" t="str">
        <f>IF($G1827="","",INDEX('EDS Lookup'!$B$6:$B$2819,$G1827))</f>
        <v/>
      </c>
      <c r="C1827" s="17"/>
      <c r="D1827" s="6"/>
      <c r="E1827" s="7" t="str">
        <f>IF($G1827="","",INDEX('EDS Lookup'!$F$6:$F$2819,$G1827))</f>
        <v/>
      </c>
      <c r="F1827" s="8" t="str">
        <f>IF($G1827="","",INDEX('EDS Lookup'!$G$6:$G$2819,$G1827))</f>
        <v/>
      </c>
      <c r="G1827" t="str">
        <f>IF(1804&lt;=$B$4,IFERROR(MATCH(1804,'EDS Lookup'!$H$6:$H$2819,0),""),"")</f>
        <v/>
      </c>
      <c r="H1827" t="str">
        <f t="shared" si="28"/>
        <v/>
      </c>
    </row>
    <row r="1828" spans="1:8" ht="19.95" customHeight="1">
      <c r="A1828" s="5" t="str">
        <f>IF($G1828="","",INDEX('EDS Lookup'!$D$6:$D$2819,$G1828))</f>
        <v/>
      </c>
      <c r="B1828" s="5" t="str">
        <f>IF($G1828="","",INDEX('EDS Lookup'!$B$6:$B$2819,$G1828))</f>
        <v/>
      </c>
      <c r="C1828" s="17"/>
      <c r="D1828" s="6"/>
      <c r="E1828" s="7" t="str">
        <f>IF($G1828="","",INDEX('EDS Lookup'!$F$6:$F$2819,$G1828))</f>
        <v/>
      </c>
      <c r="F1828" s="8" t="str">
        <f>IF($G1828="","",INDEX('EDS Lookup'!$G$6:$G$2819,$G1828))</f>
        <v/>
      </c>
      <c r="G1828" t="str">
        <f>IF(1805&lt;=$B$4,IFERROR(MATCH(1805,'EDS Lookup'!$H$6:$H$2819,0),""),"")</f>
        <v/>
      </c>
      <c r="H1828" t="str">
        <f t="shared" si="28"/>
        <v/>
      </c>
    </row>
    <row r="1829" spans="1:8" ht="19.95" customHeight="1">
      <c r="A1829" s="5" t="str">
        <f>IF($G1829="","",INDEX('EDS Lookup'!$D$6:$D$2819,$G1829))</f>
        <v/>
      </c>
      <c r="B1829" s="5" t="str">
        <f>IF($G1829="","",INDEX('EDS Lookup'!$B$6:$B$2819,$G1829))</f>
        <v/>
      </c>
      <c r="C1829" s="17"/>
      <c r="D1829" s="6"/>
      <c r="E1829" s="7" t="str">
        <f>IF($G1829="","",INDEX('EDS Lookup'!$F$6:$F$2819,$G1829))</f>
        <v/>
      </c>
      <c r="F1829" s="8" t="str">
        <f>IF($G1829="","",INDEX('EDS Lookup'!$G$6:$G$2819,$G1829))</f>
        <v/>
      </c>
      <c r="G1829" t="str">
        <f>IF(1806&lt;=$B$4,IFERROR(MATCH(1806,'EDS Lookup'!$H$6:$H$2819,0),""),"")</f>
        <v/>
      </c>
      <c r="H1829" t="str">
        <f t="shared" si="28"/>
        <v/>
      </c>
    </row>
    <row r="1830" spans="1:8" ht="19.95" customHeight="1">
      <c r="A1830" s="5" t="str">
        <f>IF($G1830="","",INDEX('EDS Lookup'!$D$6:$D$2819,$G1830))</f>
        <v/>
      </c>
      <c r="B1830" s="5" t="str">
        <f>IF($G1830="","",INDEX('EDS Lookup'!$B$6:$B$2819,$G1830))</f>
        <v/>
      </c>
      <c r="C1830" s="17"/>
      <c r="D1830" s="6"/>
      <c r="E1830" s="7" t="str">
        <f>IF($G1830="","",INDEX('EDS Lookup'!$F$6:$F$2819,$G1830))</f>
        <v/>
      </c>
      <c r="F1830" s="8" t="str">
        <f>IF($G1830="","",INDEX('EDS Lookup'!$G$6:$G$2819,$G1830))</f>
        <v/>
      </c>
      <c r="G1830" t="str">
        <f>IF(1807&lt;=$B$4,IFERROR(MATCH(1807,'EDS Lookup'!$H$6:$H$2819,0),""),"")</f>
        <v/>
      </c>
      <c r="H1830" t="str">
        <f t="shared" si="28"/>
        <v/>
      </c>
    </row>
    <row r="1831" spans="1:8" ht="19.95" customHeight="1">
      <c r="A1831" s="5" t="str">
        <f>IF($G1831="","",INDEX('EDS Lookup'!$D$6:$D$2819,$G1831))</f>
        <v/>
      </c>
      <c r="B1831" s="5" t="str">
        <f>IF($G1831="","",INDEX('EDS Lookup'!$B$6:$B$2819,$G1831))</f>
        <v/>
      </c>
      <c r="C1831" s="17"/>
      <c r="D1831" s="6"/>
      <c r="E1831" s="7" t="str">
        <f>IF($G1831="","",INDEX('EDS Lookup'!$F$6:$F$2819,$G1831))</f>
        <v/>
      </c>
      <c r="F1831" s="8" t="str">
        <f>IF($G1831="","",INDEX('EDS Lookup'!$G$6:$G$2819,$G1831))</f>
        <v/>
      </c>
      <c r="G1831" t="str">
        <f>IF(1808&lt;=$B$4,IFERROR(MATCH(1808,'EDS Lookup'!$H$6:$H$2819,0),""),"")</f>
        <v/>
      </c>
      <c r="H1831" t="str">
        <f t="shared" si="28"/>
        <v/>
      </c>
    </row>
    <row r="1832" spans="1:8" ht="19.95" customHeight="1">
      <c r="A1832" s="5" t="str">
        <f>IF($G1832="","",INDEX('EDS Lookup'!$D$6:$D$2819,$G1832))</f>
        <v/>
      </c>
      <c r="B1832" s="5" t="str">
        <f>IF($G1832="","",INDEX('EDS Lookup'!$B$6:$B$2819,$G1832))</f>
        <v/>
      </c>
      <c r="C1832" s="17"/>
      <c r="D1832" s="6"/>
      <c r="E1832" s="7" t="str">
        <f>IF($G1832="","",INDEX('EDS Lookup'!$F$6:$F$2819,$G1832))</f>
        <v/>
      </c>
      <c r="F1832" s="8" t="str">
        <f>IF($G1832="","",INDEX('EDS Lookup'!$G$6:$G$2819,$G1832))</f>
        <v/>
      </c>
      <c r="G1832" t="str">
        <f>IF(1809&lt;=$B$4,IFERROR(MATCH(1809,'EDS Lookup'!$H$6:$H$2819,0),""),"")</f>
        <v/>
      </c>
      <c r="H1832" t="str">
        <f t="shared" si="28"/>
        <v/>
      </c>
    </row>
    <row r="1833" spans="1:8" ht="19.95" customHeight="1">
      <c r="A1833" s="5" t="str">
        <f>IF($G1833="","",INDEX('EDS Lookup'!$D$6:$D$2819,$G1833))</f>
        <v/>
      </c>
      <c r="B1833" s="5" t="str">
        <f>IF($G1833="","",INDEX('EDS Lookup'!$B$6:$B$2819,$G1833))</f>
        <v/>
      </c>
      <c r="C1833" s="17"/>
      <c r="D1833" s="6"/>
      <c r="E1833" s="7" t="str">
        <f>IF($G1833="","",INDEX('EDS Lookup'!$F$6:$F$2819,$G1833))</f>
        <v/>
      </c>
      <c r="F1833" s="8" t="str">
        <f>IF($G1833="","",INDEX('EDS Lookup'!$G$6:$G$2819,$G1833))</f>
        <v/>
      </c>
      <c r="G1833" t="str">
        <f>IF(1810&lt;=$B$4,IFERROR(MATCH(1810,'EDS Lookup'!$H$6:$H$2819,0),""),"")</f>
        <v/>
      </c>
      <c r="H1833" t="str">
        <f t="shared" si="28"/>
        <v/>
      </c>
    </row>
    <row r="1834" spans="1:8" ht="19.95" customHeight="1">
      <c r="A1834" s="5" t="str">
        <f>IF($G1834="","",INDEX('EDS Lookup'!$D$6:$D$2819,$G1834))</f>
        <v/>
      </c>
      <c r="B1834" s="5" t="str">
        <f>IF($G1834="","",INDEX('EDS Lookup'!$B$6:$B$2819,$G1834))</f>
        <v/>
      </c>
      <c r="C1834" s="17"/>
      <c r="D1834" s="6"/>
      <c r="E1834" s="7" t="str">
        <f>IF($G1834="","",INDEX('EDS Lookup'!$F$6:$F$2819,$G1834))</f>
        <v/>
      </c>
      <c r="F1834" s="8" t="str">
        <f>IF($G1834="","",INDEX('EDS Lookup'!$G$6:$G$2819,$G1834))</f>
        <v/>
      </c>
      <c r="G1834" t="str">
        <f>IF(1811&lt;=$B$4,IFERROR(MATCH(1811,'EDS Lookup'!$H$6:$H$2819,0),""),"")</f>
        <v/>
      </c>
      <c r="H1834" t="str">
        <f t="shared" si="28"/>
        <v/>
      </c>
    </row>
    <row r="1835" spans="1:8" ht="19.95" customHeight="1">
      <c r="A1835" s="5" t="str">
        <f>IF($G1835="","",INDEX('EDS Lookup'!$D$6:$D$2819,$G1835))</f>
        <v/>
      </c>
      <c r="B1835" s="5" t="str">
        <f>IF($G1835="","",INDEX('EDS Lookup'!$B$6:$B$2819,$G1835))</f>
        <v/>
      </c>
      <c r="C1835" s="17"/>
      <c r="D1835" s="6"/>
      <c r="E1835" s="7" t="str">
        <f>IF($G1835="","",INDEX('EDS Lookup'!$F$6:$F$2819,$G1835))</f>
        <v/>
      </c>
      <c r="F1835" s="8" t="str">
        <f>IF($G1835="","",INDEX('EDS Lookup'!$G$6:$G$2819,$G1835))</f>
        <v/>
      </c>
      <c r="G1835" t="str">
        <f>IF(1812&lt;=$B$4,IFERROR(MATCH(1812,'EDS Lookup'!$H$6:$H$2819,0),""),"")</f>
        <v/>
      </c>
      <c r="H1835" t="str">
        <f t="shared" si="28"/>
        <v/>
      </c>
    </row>
    <row r="1836" spans="1:8" ht="19.95" customHeight="1">
      <c r="A1836" s="5" t="str">
        <f>IF($G1836="","",INDEX('EDS Lookup'!$D$6:$D$2819,$G1836))</f>
        <v/>
      </c>
      <c r="B1836" s="5" t="str">
        <f>IF($G1836="","",INDEX('EDS Lookup'!$B$6:$B$2819,$G1836))</f>
        <v/>
      </c>
      <c r="C1836" s="17"/>
      <c r="D1836" s="6"/>
      <c r="E1836" s="7" t="str">
        <f>IF($G1836="","",INDEX('EDS Lookup'!$F$6:$F$2819,$G1836))</f>
        <v/>
      </c>
      <c r="F1836" s="8" t="str">
        <f>IF($G1836="","",INDEX('EDS Lookup'!$G$6:$G$2819,$G1836))</f>
        <v/>
      </c>
      <c r="G1836" t="str">
        <f>IF(1813&lt;=$B$4,IFERROR(MATCH(1813,'EDS Lookup'!$H$6:$H$2819,0),""),"")</f>
        <v/>
      </c>
      <c r="H1836" t="str">
        <f t="shared" si="28"/>
        <v/>
      </c>
    </row>
    <row r="1837" spans="1:8" ht="19.95" customHeight="1">
      <c r="A1837" s="5" t="str">
        <f>IF($G1837="","",INDEX('EDS Lookup'!$D$6:$D$2819,$G1837))</f>
        <v/>
      </c>
      <c r="B1837" s="5" t="str">
        <f>IF($G1837="","",INDEX('EDS Lookup'!$B$6:$B$2819,$G1837))</f>
        <v/>
      </c>
      <c r="C1837" s="17"/>
      <c r="D1837" s="6"/>
      <c r="E1837" s="7" t="str">
        <f>IF($G1837="","",INDEX('EDS Lookup'!$F$6:$F$2819,$G1837))</f>
        <v/>
      </c>
      <c r="F1837" s="8" t="str">
        <f>IF($G1837="","",INDEX('EDS Lookup'!$G$6:$G$2819,$G1837))</f>
        <v/>
      </c>
      <c r="G1837" t="str">
        <f>IF(1814&lt;=$B$4,IFERROR(MATCH(1814,'EDS Lookup'!$H$6:$H$2819,0),""),"")</f>
        <v/>
      </c>
      <c r="H1837" t="str">
        <f t="shared" si="28"/>
        <v/>
      </c>
    </row>
    <row r="1838" spans="1:8" ht="19.95" customHeight="1">
      <c r="A1838" s="5" t="str">
        <f>IF($G1838="","",INDEX('EDS Lookup'!$D$6:$D$2819,$G1838))</f>
        <v/>
      </c>
      <c r="B1838" s="5" t="str">
        <f>IF($G1838="","",INDEX('EDS Lookup'!$B$6:$B$2819,$G1838))</f>
        <v/>
      </c>
      <c r="C1838" s="17"/>
      <c r="D1838" s="6"/>
      <c r="E1838" s="7" t="str">
        <f>IF($G1838="","",INDEX('EDS Lookup'!$F$6:$F$2819,$G1838))</f>
        <v/>
      </c>
      <c r="F1838" s="8" t="str">
        <f>IF($G1838="","",INDEX('EDS Lookup'!$G$6:$G$2819,$G1838))</f>
        <v/>
      </c>
      <c r="G1838" t="str">
        <f>IF(1815&lt;=$B$4,IFERROR(MATCH(1815,'EDS Lookup'!$H$6:$H$2819,0),""),"")</f>
        <v/>
      </c>
      <c r="H1838" t="str">
        <f t="shared" si="28"/>
        <v/>
      </c>
    </row>
    <row r="1839" spans="1:8" ht="19.95" customHeight="1">
      <c r="A1839" s="5" t="str">
        <f>IF($G1839="","",INDEX('EDS Lookup'!$D$6:$D$2819,$G1839))</f>
        <v/>
      </c>
      <c r="B1839" s="5" t="str">
        <f>IF($G1839="","",INDEX('EDS Lookup'!$B$6:$B$2819,$G1839))</f>
        <v/>
      </c>
      <c r="C1839" s="17"/>
      <c r="D1839" s="6"/>
      <c r="E1839" s="7" t="str">
        <f>IF($G1839="","",INDEX('EDS Lookup'!$F$6:$F$2819,$G1839))</f>
        <v/>
      </c>
      <c r="F1839" s="8" t="str">
        <f>IF($G1839="","",INDEX('EDS Lookup'!$G$6:$G$2819,$G1839))</f>
        <v/>
      </c>
      <c r="G1839" t="str">
        <f>IF(1816&lt;=$B$4,IFERROR(MATCH(1816,'EDS Lookup'!$H$6:$H$2819,0),""),"")</f>
        <v/>
      </c>
      <c r="H1839" t="str">
        <f t="shared" si="28"/>
        <v/>
      </c>
    </row>
    <row r="1840" spans="1:8" ht="19.95" customHeight="1">
      <c r="A1840" s="5" t="str">
        <f>IF($G1840="","",INDEX('EDS Lookup'!$D$6:$D$2819,$G1840))</f>
        <v/>
      </c>
      <c r="B1840" s="5" t="str">
        <f>IF($G1840="","",INDEX('EDS Lookup'!$B$6:$B$2819,$G1840))</f>
        <v/>
      </c>
      <c r="C1840" s="17"/>
      <c r="D1840" s="6"/>
      <c r="E1840" s="7" t="str">
        <f>IF($G1840="","",INDEX('EDS Lookup'!$F$6:$F$2819,$G1840))</f>
        <v/>
      </c>
      <c r="F1840" s="8" t="str">
        <f>IF($G1840="","",INDEX('EDS Lookup'!$G$6:$G$2819,$G1840))</f>
        <v/>
      </c>
      <c r="G1840" t="str">
        <f>IF(1817&lt;=$B$4,IFERROR(MATCH(1817,'EDS Lookup'!$H$6:$H$2819,0),""),"")</f>
        <v/>
      </c>
      <c r="H1840" t="str">
        <f t="shared" si="28"/>
        <v/>
      </c>
    </row>
    <row r="1841" spans="1:8" ht="19.95" customHeight="1">
      <c r="A1841" s="5" t="str">
        <f>IF($G1841="","",INDEX('EDS Lookup'!$D$6:$D$2819,$G1841))</f>
        <v/>
      </c>
      <c r="B1841" s="5" t="str">
        <f>IF($G1841="","",INDEX('EDS Lookup'!$B$6:$B$2819,$G1841))</f>
        <v/>
      </c>
      <c r="C1841" s="17"/>
      <c r="D1841" s="6"/>
      <c r="E1841" s="7" t="str">
        <f>IF($G1841="","",INDEX('EDS Lookup'!$F$6:$F$2819,$G1841))</f>
        <v/>
      </c>
      <c r="F1841" s="8" t="str">
        <f>IF($G1841="","",INDEX('EDS Lookup'!$G$6:$G$2819,$G1841))</f>
        <v/>
      </c>
      <c r="G1841" t="str">
        <f>IF(1818&lt;=$B$4,IFERROR(MATCH(1818,'EDS Lookup'!$H$6:$H$2819,0),""),"")</f>
        <v/>
      </c>
      <c r="H1841" t="str">
        <f t="shared" si="28"/>
        <v/>
      </c>
    </row>
    <row r="1842" spans="1:8" ht="19.95" customHeight="1">
      <c r="A1842" s="5" t="str">
        <f>IF($G1842="","",INDEX('EDS Lookup'!$D$6:$D$2819,$G1842))</f>
        <v/>
      </c>
      <c r="B1842" s="5" t="str">
        <f>IF($G1842="","",INDEX('EDS Lookup'!$B$6:$B$2819,$G1842))</f>
        <v/>
      </c>
      <c r="C1842" s="17"/>
      <c r="D1842" s="6"/>
      <c r="E1842" s="7" t="str">
        <f>IF($G1842="","",INDEX('EDS Lookup'!$F$6:$F$2819,$G1842))</f>
        <v/>
      </c>
      <c r="F1842" s="8" t="str">
        <f>IF($G1842="","",INDEX('EDS Lookup'!$G$6:$G$2819,$G1842))</f>
        <v/>
      </c>
      <c r="G1842" t="str">
        <f>IF(1819&lt;=$B$4,IFERROR(MATCH(1819,'EDS Lookup'!$H$6:$H$2819,0),""),"")</f>
        <v/>
      </c>
      <c r="H1842" t="str">
        <f t="shared" si="28"/>
        <v/>
      </c>
    </row>
    <row r="1843" spans="1:8" ht="19.95" customHeight="1">
      <c r="A1843" s="5" t="str">
        <f>IF($G1843="","",INDEX('EDS Lookup'!$D$6:$D$2819,$G1843))</f>
        <v/>
      </c>
      <c r="B1843" s="5" t="str">
        <f>IF($G1843="","",INDEX('EDS Lookup'!$B$6:$B$2819,$G1843))</f>
        <v/>
      </c>
      <c r="C1843" s="17"/>
      <c r="D1843" s="6"/>
      <c r="E1843" s="7" t="str">
        <f>IF($G1843="","",INDEX('EDS Lookup'!$F$6:$F$2819,$G1843))</f>
        <v/>
      </c>
      <c r="F1843" s="8" t="str">
        <f>IF($G1843="","",INDEX('EDS Lookup'!$G$6:$G$2819,$G1843))</f>
        <v/>
      </c>
      <c r="G1843" t="str">
        <f>IF(1820&lt;=$B$4,IFERROR(MATCH(1820,'EDS Lookup'!$H$6:$H$2819,0),""),"")</f>
        <v/>
      </c>
      <c r="H1843" t="str">
        <f t="shared" si="28"/>
        <v/>
      </c>
    </row>
    <row r="1844" spans="1:8" ht="19.95" customHeight="1">
      <c r="A1844" s="5" t="str">
        <f>IF($G1844="","",INDEX('EDS Lookup'!$D$6:$D$2819,$G1844))</f>
        <v/>
      </c>
      <c r="B1844" s="5" t="str">
        <f>IF($G1844="","",INDEX('EDS Lookup'!$B$6:$B$2819,$G1844))</f>
        <v/>
      </c>
      <c r="C1844" s="17"/>
      <c r="D1844" s="6"/>
      <c r="E1844" s="7" t="str">
        <f>IF($G1844="","",INDEX('EDS Lookup'!$F$6:$F$2819,$G1844))</f>
        <v/>
      </c>
      <c r="F1844" s="8" t="str">
        <f>IF($G1844="","",INDEX('EDS Lookup'!$G$6:$G$2819,$G1844))</f>
        <v/>
      </c>
      <c r="G1844" t="str">
        <f>IF(1821&lt;=$B$4,IFERROR(MATCH(1821,'EDS Lookup'!$H$6:$H$2819,0),""),"")</f>
        <v/>
      </c>
      <c r="H1844" t="str">
        <f t="shared" si="28"/>
        <v/>
      </c>
    </row>
    <row r="1845" spans="1:8" ht="19.95" customHeight="1">
      <c r="A1845" s="5" t="str">
        <f>IF($G1845="","",INDEX('EDS Lookup'!$D$6:$D$2819,$G1845))</f>
        <v/>
      </c>
      <c r="B1845" s="5" t="str">
        <f>IF($G1845="","",INDEX('EDS Lookup'!$B$6:$B$2819,$G1845))</f>
        <v/>
      </c>
      <c r="C1845" s="17"/>
      <c r="D1845" s="6"/>
      <c r="E1845" s="7" t="str">
        <f>IF($G1845="","",INDEX('EDS Lookup'!$F$6:$F$2819,$G1845))</f>
        <v/>
      </c>
      <c r="F1845" s="8" t="str">
        <f>IF($G1845="","",INDEX('EDS Lookup'!$G$6:$G$2819,$G1845))</f>
        <v/>
      </c>
      <c r="G1845" t="str">
        <f>IF(1822&lt;=$B$4,IFERROR(MATCH(1822,'EDS Lookup'!$H$6:$H$2819,0),""),"")</f>
        <v/>
      </c>
      <c r="H1845" t="str">
        <f t="shared" si="28"/>
        <v/>
      </c>
    </row>
    <row r="1846" spans="1:8" ht="19.95" customHeight="1">
      <c r="A1846" s="5" t="str">
        <f>IF($G1846="","",INDEX('EDS Lookup'!$D$6:$D$2819,$G1846))</f>
        <v/>
      </c>
      <c r="B1846" s="5" t="str">
        <f>IF($G1846="","",INDEX('EDS Lookup'!$B$6:$B$2819,$G1846))</f>
        <v/>
      </c>
      <c r="C1846" s="17"/>
      <c r="D1846" s="6"/>
      <c r="E1846" s="7" t="str">
        <f>IF($G1846="","",INDEX('EDS Lookup'!$F$6:$F$2819,$G1846))</f>
        <v/>
      </c>
      <c r="F1846" s="8" t="str">
        <f>IF($G1846="","",INDEX('EDS Lookup'!$G$6:$G$2819,$G1846))</f>
        <v/>
      </c>
      <c r="G1846" t="str">
        <f>IF(1823&lt;=$B$4,IFERROR(MATCH(1823,'EDS Lookup'!$H$6:$H$2819,0),""),"")</f>
        <v/>
      </c>
      <c r="H1846" t="str">
        <f t="shared" si="28"/>
        <v/>
      </c>
    </row>
    <row r="1847" spans="1:8" ht="19.95" customHeight="1">
      <c r="A1847" s="5" t="str">
        <f>IF($G1847="","",INDEX('EDS Lookup'!$D$6:$D$2819,$G1847))</f>
        <v/>
      </c>
      <c r="B1847" s="5" t="str">
        <f>IF($G1847="","",INDEX('EDS Lookup'!$B$6:$B$2819,$G1847))</f>
        <v/>
      </c>
      <c r="C1847" s="17"/>
      <c r="D1847" s="6"/>
      <c r="E1847" s="7" t="str">
        <f>IF($G1847="","",INDEX('EDS Lookup'!$F$6:$F$2819,$G1847))</f>
        <v/>
      </c>
      <c r="F1847" s="8" t="str">
        <f>IF($G1847="","",INDEX('EDS Lookup'!$G$6:$G$2819,$G1847))</f>
        <v/>
      </c>
      <c r="G1847" t="str">
        <f>IF(1824&lt;=$B$4,IFERROR(MATCH(1824,'EDS Lookup'!$H$6:$H$2819,0),""),"")</f>
        <v/>
      </c>
      <c r="H1847" t="str">
        <f t="shared" si="28"/>
        <v/>
      </c>
    </row>
    <row r="1848" spans="1:8" ht="19.95" customHeight="1">
      <c r="A1848" s="5" t="str">
        <f>IF($G1848="","",INDEX('EDS Lookup'!$D$6:$D$2819,$G1848))</f>
        <v/>
      </c>
      <c r="B1848" s="5" t="str">
        <f>IF($G1848="","",INDEX('EDS Lookup'!$B$6:$B$2819,$G1848))</f>
        <v/>
      </c>
      <c r="C1848" s="17"/>
      <c r="D1848" s="6"/>
      <c r="E1848" s="7" t="str">
        <f>IF($G1848="","",INDEX('EDS Lookup'!$F$6:$F$2819,$G1848))</f>
        <v/>
      </c>
      <c r="F1848" s="8" t="str">
        <f>IF($G1848="","",INDEX('EDS Lookup'!$G$6:$G$2819,$G1848))</f>
        <v/>
      </c>
      <c r="G1848" t="str">
        <f>IF(1825&lt;=$B$4,IFERROR(MATCH(1825,'EDS Lookup'!$H$6:$H$2819,0),""),"")</f>
        <v/>
      </c>
      <c r="H1848" t="str">
        <f t="shared" si="28"/>
        <v/>
      </c>
    </row>
    <row r="1849" spans="1:8" ht="19.95" customHeight="1">
      <c r="A1849" s="5" t="str">
        <f>IF($G1849="","",INDEX('EDS Lookup'!$D$6:$D$2819,$G1849))</f>
        <v/>
      </c>
      <c r="B1849" s="5" t="str">
        <f>IF($G1849="","",INDEX('EDS Lookup'!$B$6:$B$2819,$G1849))</f>
        <v/>
      </c>
      <c r="C1849" s="17"/>
      <c r="D1849" s="6"/>
      <c r="E1849" s="7" t="str">
        <f>IF($G1849="","",INDEX('EDS Lookup'!$F$6:$F$2819,$G1849))</f>
        <v/>
      </c>
      <c r="F1849" s="8" t="str">
        <f>IF($G1849="","",INDEX('EDS Lookup'!$G$6:$G$2819,$G1849))</f>
        <v/>
      </c>
      <c r="G1849" t="str">
        <f>IF(1826&lt;=$B$4,IFERROR(MATCH(1826,'EDS Lookup'!$H$6:$H$2819,0),""),"")</f>
        <v/>
      </c>
      <c r="H1849" t="str">
        <f t="shared" si="28"/>
        <v/>
      </c>
    </row>
    <row r="1850" spans="1:8" ht="19.95" customHeight="1">
      <c r="A1850" s="5" t="str">
        <f>IF($G1850="","",INDEX('EDS Lookup'!$D$6:$D$2819,$G1850))</f>
        <v/>
      </c>
      <c r="B1850" s="5" t="str">
        <f>IF($G1850="","",INDEX('EDS Lookup'!$B$6:$B$2819,$G1850))</f>
        <v/>
      </c>
      <c r="C1850" s="17"/>
      <c r="D1850" s="6"/>
      <c r="E1850" s="7" t="str">
        <f>IF($G1850="","",INDEX('EDS Lookup'!$F$6:$F$2819,$G1850))</f>
        <v/>
      </c>
      <c r="F1850" s="8" t="str">
        <f>IF($G1850="","",INDEX('EDS Lookup'!$G$6:$G$2819,$G1850))</f>
        <v/>
      </c>
      <c r="G1850" t="str">
        <f>IF(1827&lt;=$B$4,IFERROR(MATCH(1827,'EDS Lookup'!$H$6:$H$2819,0),""),"")</f>
        <v/>
      </c>
      <c r="H1850" t="str">
        <f t="shared" si="28"/>
        <v/>
      </c>
    </row>
    <row r="1851" spans="1:8" ht="19.95" customHeight="1">
      <c r="A1851" s="5" t="str">
        <f>IF($G1851="","",INDEX('EDS Lookup'!$D$6:$D$2819,$G1851))</f>
        <v/>
      </c>
      <c r="B1851" s="5" t="str">
        <f>IF($G1851="","",INDEX('EDS Lookup'!$B$6:$B$2819,$G1851))</f>
        <v/>
      </c>
      <c r="C1851" s="17"/>
      <c r="D1851" s="6"/>
      <c r="E1851" s="7" t="str">
        <f>IF($G1851="","",INDEX('EDS Lookup'!$F$6:$F$2819,$G1851))</f>
        <v/>
      </c>
      <c r="F1851" s="8" t="str">
        <f>IF($G1851="","",INDEX('EDS Lookup'!$G$6:$G$2819,$G1851))</f>
        <v/>
      </c>
      <c r="G1851" t="str">
        <f>IF(1828&lt;=$B$4,IFERROR(MATCH(1828,'EDS Lookup'!$H$6:$H$2819,0),""),"")</f>
        <v/>
      </c>
      <c r="H1851" t="str">
        <f t="shared" si="28"/>
        <v/>
      </c>
    </row>
    <row r="1852" spans="1:8" ht="19.95" customHeight="1">
      <c r="A1852" s="5" t="str">
        <f>IF($G1852="","",INDEX('EDS Lookup'!$D$6:$D$2819,$G1852))</f>
        <v/>
      </c>
      <c r="B1852" s="5" t="str">
        <f>IF($G1852="","",INDEX('EDS Lookup'!$B$6:$B$2819,$G1852))</f>
        <v/>
      </c>
      <c r="C1852" s="17"/>
      <c r="D1852" s="6"/>
      <c r="E1852" s="7" t="str">
        <f>IF($G1852="","",INDEX('EDS Lookup'!$F$6:$F$2819,$G1852))</f>
        <v/>
      </c>
      <c r="F1852" s="8" t="str">
        <f>IF($G1852="","",INDEX('EDS Lookup'!$G$6:$G$2819,$G1852))</f>
        <v/>
      </c>
      <c r="G1852" t="str">
        <f>IF(1829&lt;=$B$4,IFERROR(MATCH(1829,'EDS Lookup'!$H$6:$H$2819,0),""),"")</f>
        <v/>
      </c>
      <c r="H1852" t="str">
        <f t="shared" si="28"/>
        <v/>
      </c>
    </row>
    <row r="1853" spans="1:8" ht="19.95" customHeight="1">
      <c r="A1853" s="5" t="str">
        <f>IF($G1853="","",INDEX('EDS Lookup'!$D$6:$D$2819,$G1853))</f>
        <v/>
      </c>
      <c r="B1853" s="5" t="str">
        <f>IF($G1853="","",INDEX('EDS Lookup'!$B$6:$B$2819,$G1853))</f>
        <v/>
      </c>
      <c r="C1853" s="17"/>
      <c r="D1853" s="6"/>
      <c r="E1853" s="7" t="str">
        <f>IF($G1853="","",INDEX('EDS Lookup'!$F$6:$F$2819,$G1853))</f>
        <v/>
      </c>
      <c r="F1853" s="8" t="str">
        <f>IF($G1853="","",INDEX('EDS Lookup'!$G$6:$G$2819,$G1853))</f>
        <v/>
      </c>
      <c r="G1853" t="str">
        <f>IF(1830&lt;=$B$4,IFERROR(MATCH(1830,'EDS Lookup'!$H$6:$H$2819,0),""),"")</f>
        <v/>
      </c>
      <c r="H1853" t="str">
        <f t="shared" si="28"/>
        <v/>
      </c>
    </row>
    <row r="1854" spans="1:8" ht="19.95" customHeight="1">
      <c r="A1854" s="5" t="str">
        <f>IF($G1854="","",INDEX('EDS Lookup'!$D$6:$D$2819,$G1854))</f>
        <v/>
      </c>
      <c r="B1854" s="5" t="str">
        <f>IF($G1854="","",INDEX('EDS Lookup'!$B$6:$B$2819,$G1854))</f>
        <v/>
      </c>
      <c r="C1854" s="17"/>
      <c r="D1854" s="6"/>
      <c r="E1854" s="7" t="str">
        <f>IF($G1854="","",INDEX('EDS Lookup'!$F$6:$F$2819,$G1854))</f>
        <v/>
      </c>
      <c r="F1854" s="8" t="str">
        <f>IF($G1854="","",INDEX('EDS Lookup'!$G$6:$G$2819,$G1854))</f>
        <v/>
      </c>
      <c r="G1854" t="str">
        <f>IF(1831&lt;=$B$4,IFERROR(MATCH(1831,'EDS Lookup'!$H$6:$H$2819,0),""),"")</f>
        <v/>
      </c>
      <c r="H1854" t="str">
        <f t="shared" si="28"/>
        <v/>
      </c>
    </row>
    <row r="1855" spans="1:8" ht="19.95" customHeight="1">
      <c r="A1855" s="5" t="str">
        <f>IF($G1855="","",INDEX('EDS Lookup'!$D$6:$D$2819,$G1855))</f>
        <v/>
      </c>
      <c r="B1855" s="5" t="str">
        <f>IF($G1855="","",INDEX('EDS Lookup'!$B$6:$B$2819,$G1855))</f>
        <v/>
      </c>
      <c r="C1855" s="17"/>
      <c r="D1855" s="6"/>
      <c r="E1855" s="7" t="str">
        <f>IF($G1855="","",INDEX('EDS Lookup'!$F$6:$F$2819,$G1855))</f>
        <v/>
      </c>
      <c r="F1855" s="8" t="str">
        <f>IF($G1855="","",INDEX('EDS Lookup'!$G$6:$G$2819,$G1855))</f>
        <v/>
      </c>
      <c r="G1855" t="str">
        <f>IF(1832&lt;=$B$4,IFERROR(MATCH(1832,'EDS Lookup'!$H$6:$H$2819,0),""),"")</f>
        <v/>
      </c>
      <c r="H1855" t="str">
        <f t="shared" si="28"/>
        <v/>
      </c>
    </row>
    <row r="1856" spans="1:8" ht="19.95" customHeight="1">
      <c r="A1856" s="5" t="str">
        <f>IF($G1856="","",INDEX('EDS Lookup'!$D$6:$D$2819,$G1856))</f>
        <v/>
      </c>
      <c r="B1856" s="5" t="str">
        <f>IF($G1856="","",INDEX('EDS Lookup'!$B$6:$B$2819,$G1856))</f>
        <v/>
      </c>
      <c r="C1856" s="17"/>
      <c r="D1856" s="6"/>
      <c r="E1856" s="7" t="str">
        <f>IF($G1856="","",INDEX('EDS Lookup'!$F$6:$F$2819,$G1856))</f>
        <v/>
      </c>
      <c r="F1856" s="8" t="str">
        <f>IF($G1856="","",INDEX('EDS Lookup'!$G$6:$G$2819,$G1856))</f>
        <v/>
      </c>
      <c r="G1856" t="str">
        <f>IF(1833&lt;=$B$4,IFERROR(MATCH(1833,'EDS Lookup'!$H$6:$H$2819,0),""),"")</f>
        <v/>
      </c>
      <c r="H1856" t="str">
        <f t="shared" si="28"/>
        <v/>
      </c>
    </row>
    <row r="1857" spans="1:8" ht="19.95" customHeight="1">
      <c r="A1857" s="5" t="str">
        <f>IF($G1857="","",INDEX('EDS Lookup'!$D$6:$D$2819,$G1857))</f>
        <v/>
      </c>
      <c r="B1857" s="5" t="str">
        <f>IF($G1857="","",INDEX('EDS Lookup'!$B$6:$B$2819,$G1857))</f>
        <v/>
      </c>
      <c r="C1857" s="17"/>
      <c r="D1857" s="6"/>
      <c r="E1857" s="7" t="str">
        <f>IF($G1857="","",INDEX('EDS Lookup'!$F$6:$F$2819,$G1857))</f>
        <v/>
      </c>
      <c r="F1857" s="8" t="str">
        <f>IF($G1857="","",INDEX('EDS Lookup'!$G$6:$G$2819,$G1857))</f>
        <v/>
      </c>
      <c r="G1857" t="str">
        <f>IF(1834&lt;=$B$4,IFERROR(MATCH(1834,'EDS Lookup'!$H$6:$H$2819,0),""),"")</f>
        <v/>
      </c>
      <c r="H1857" t="str">
        <f t="shared" si="28"/>
        <v/>
      </c>
    </row>
    <row r="1858" spans="1:8" ht="19.95" customHeight="1">
      <c r="A1858" s="5" t="str">
        <f>IF($G1858="","",INDEX('EDS Lookup'!$D$6:$D$2819,$G1858))</f>
        <v/>
      </c>
      <c r="B1858" s="5" t="str">
        <f>IF($G1858="","",INDEX('EDS Lookup'!$B$6:$B$2819,$G1858))</f>
        <v/>
      </c>
      <c r="C1858" s="17"/>
      <c r="D1858" s="6"/>
      <c r="E1858" s="7" t="str">
        <f>IF($G1858="","",INDEX('EDS Lookup'!$F$6:$F$2819,$G1858))</f>
        <v/>
      </c>
      <c r="F1858" s="8" t="str">
        <f>IF($G1858="","",INDEX('EDS Lookup'!$G$6:$G$2819,$G1858))</f>
        <v/>
      </c>
      <c r="G1858" t="str">
        <f>IF(1835&lt;=$B$4,IFERROR(MATCH(1835,'EDS Lookup'!$H$6:$H$2819,0),""),"")</f>
        <v/>
      </c>
      <c r="H1858" t="str">
        <f t="shared" si="28"/>
        <v/>
      </c>
    </row>
    <row r="1859" spans="1:8" ht="19.95" customHeight="1">
      <c r="A1859" s="5" t="str">
        <f>IF($G1859="","",INDEX('EDS Lookup'!$D$6:$D$2819,$G1859))</f>
        <v/>
      </c>
      <c r="B1859" s="5" t="str">
        <f>IF($G1859="","",INDEX('EDS Lookup'!$B$6:$B$2819,$G1859))</f>
        <v/>
      </c>
      <c r="C1859" s="17"/>
      <c r="D1859" s="6"/>
      <c r="E1859" s="7" t="str">
        <f>IF($G1859="","",INDEX('EDS Lookup'!$F$6:$F$2819,$G1859))</f>
        <v/>
      </c>
      <c r="F1859" s="8" t="str">
        <f>IF($G1859="","",INDEX('EDS Lookup'!$G$6:$G$2819,$G1859))</f>
        <v/>
      </c>
      <c r="G1859" t="str">
        <f>IF(1836&lt;=$B$4,IFERROR(MATCH(1836,'EDS Lookup'!$H$6:$H$2819,0),""),"")</f>
        <v/>
      </c>
      <c r="H1859" t="str">
        <f t="shared" si="28"/>
        <v/>
      </c>
    </row>
    <row r="1860" spans="1:8" ht="19.95" customHeight="1">
      <c r="A1860" s="5" t="str">
        <f>IF($G1860="","",INDEX('EDS Lookup'!$D$6:$D$2819,$G1860))</f>
        <v/>
      </c>
      <c r="B1860" s="5" t="str">
        <f>IF($G1860="","",INDEX('EDS Lookup'!$B$6:$B$2819,$G1860))</f>
        <v/>
      </c>
      <c r="C1860" s="17"/>
      <c r="D1860" s="6"/>
      <c r="E1860" s="7" t="str">
        <f>IF($G1860="","",INDEX('EDS Lookup'!$F$6:$F$2819,$G1860))</f>
        <v/>
      </c>
      <c r="F1860" s="8" t="str">
        <f>IF($G1860="","",INDEX('EDS Lookup'!$G$6:$G$2819,$G1860))</f>
        <v/>
      </c>
      <c r="G1860" t="str">
        <f>IF(1837&lt;=$B$4,IFERROR(MATCH(1837,'EDS Lookup'!$H$6:$H$2819,0),""),"")</f>
        <v/>
      </c>
      <c r="H1860" t="str">
        <f t="shared" si="28"/>
        <v/>
      </c>
    </row>
    <row r="1861" spans="1:8" ht="19.95" customHeight="1">
      <c r="A1861" s="5" t="str">
        <f>IF($G1861="","",INDEX('EDS Lookup'!$D$6:$D$2819,$G1861))</f>
        <v/>
      </c>
      <c r="B1861" s="5" t="str">
        <f>IF($G1861="","",INDEX('EDS Lookup'!$B$6:$B$2819,$G1861))</f>
        <v/>
      </c>
      <c r="C1861" s="17"/>
      <c r="D1861" s="6"/>
      <c r="E1861" s="7" t="str">
        <f>IF($G1861="","",INDEX('EDS Lookup'!$F$6:$F$2819,$G1861))</f>
        <v/>
      </c>
      <c r="F1861" s="8" t="str">
        <f>IF($G1861="","",INDEX('EDS Lookup'!$G$6:$G$2819,$G1861))</f>
        <v/>
      </c>
      <c r="G1861" t="str">
        <f>IF(1838&lt;=$B$4,IFERROR(MATCH(1838,'EDS Lookup'!$H$6:$H$2819,0),""),"")</f>
        <v/>
      </c>
      <c r="H1861" t="str">
        <f t="shared" si="28"/>
        <v/>
      </c>
    </row>
    <row r="1862" spans="1:8" ht="19.95" customHeight="1">
      <c r="A1862" s="5" t="str">
        <f>IF($G1862="","",INDEX('EDS Lookup'!$D$6:$D$2819,$G1862))</f>
        <v/>
      </c>
      <c r="B1862" s="5" t="str">
        <f>IF($G1862="","",INDEX('EDS Lookup'!$B$6:$B$2819,$G1862))</f>
        <v/>
      </c>
      <c r="C1862" s="17"/>
      <c r="D1862" s="6"/>
      <c r="E1862" s="7" t="str">
        <f>IF($G1862="","",INDEX('EDS Lookup'!$F$6:$F$2819,$G1862))</f>
        <v/>
      </c>
      <c r="F1862" s="8" t="str">
        <f>IF($G1862="","",INDEX('EDS Lookup'!$G$6:$G$2819,$G1862))</f>
        <v/>
      </c>
      <c r="G1862" t="str">
        <f>IF(1839&lt;=$B$4,IFERROR(MATCH(1839,'EDS Lookup'!$H$6:$H$2819,0),""),"")</f>
        <v/>
      </c>
      <c r="H1862" t="str">
        <f t="shared" si="28"/>
        <v/>
      </c>
    </row>
    <row r="1863" spans="1:8" ht="19.95" customHeight="1">
      <c r="A1863" s="5" t="str">
        <f>IF($G1863="","",INDEX('EDS Lookup'!$D$6:$D$2819,$G1863))</f>
        <v/>
      </c>
      <c r="B1863" s="5" t="str">
        <f>IF($G1863="","",INDEX('EDS Lookup'!$B$6:$B$2819,$G1863))</f>
        <v/>
      </c>
      <c r="C1863" s="17"/>
      <c r="D1863" s="6"/>
      <c r="E1863" s="7" t="str">
        <f>IF($G1863="","",INDEX('EDS Lookup'!$F$6:$F$2819,$G1863))</f>
        <v/>
      </c>
      <c r="F1863" s="8" t="str">
        <f>IF($G1863="","",INDEX('EDS Lookup'!$G$6:$G$2819,$G1863))</f>
        <v/>
      </c>
      <c r="G1863" t="str">
        <f>IF(1840&lt;=$B$4,IFERROR(MATCH(1840,'EDS Lookup'!$H$6:$H$2819,0),""),"")</f>
        <v/>
      </c>
      <c r="H1863" t="str">
        <f t="shared" si="28"/>
        <v/>
      </c>
    </row>
    <row r="1864" spans="1:8" ht="19.95" customHeight="1">
      <c r="A1864" s="5" t="str">
        <f>IF($G1864="","",INDEX('EDS Lookup'!$D$6:$D$2819,$G1864))</f>
        <v/>
      </c>
      <c r="B1864" s="5" t="str">
        <f>IF($G1864="","",INDEX('EDS Lookup'!$B$6:$B$2819,$G1864))</f>
        <v/>
      </c>
      <c r="C1864" s="17"/>
      <c r="D1864" s="6"/>
      <c r="E1864" s="7" t="str">
        <f>IF($G1864="","",INDEX('EDS Lookup'!$F$6:$F$2819,$G1864))</f>
        <v/>
      </c>
      <c r="F1864" s="8" t="str">
        <f>IF($G1864="","",INDEX('EDS Lookup'!$G$6:$G$2819,$G1864))</f>
        <v/>
      </c>
      <c r="G1864" t="str">
        <f>IF(1841&lt;=$B$4,IFERROR(MATCH(1841,'EDS Lookup'!$H$6:$H$2819,0),""),"")</f>
        <v/>
      </c>
      <c r="H1864" t="str">
        <f t="shared" si="28"/>
        <v/>
      </c>
    </row>
    <row r="1865" spans="1:8" ht="19.95" customHeight="1">
      <c r="A1865" s="5" t="str">
        <f>IF($G1865="","",INDEX('EDS Lookup'!$D$6:$D$2819,$G1865))</f>
        <v/>
      </c>
      <c r="B1865" s="5" t="str">
        <f>IF($G1865="","",INDEX('EDS Lookup'!$B$6:$B$2819,$G1865))</f>
        <v/>
      </c>
      <c r="C1865" s="17"/>
      <c r="D1865" s="6"/>
      <c r="E1865" s="7" t="str">
        <f>IF($G1865="","",INDEX('EDS Lookup'!$F$6:$F$2819,$G1865))</f>
        <v/>
      </c>
      <c r="F1865" s="8" t="str">
        <f>IF($G1865="","",INDEX('EDS Lookup'!$G$6:$G$2819,$G1865))</f>
        <v/>
      </c>
      <c r="G1865" t="str">
        <f>IF(1842&lt;=$B$4,IFERROR(MATCH(1842,'EDS Lookup'!$H$6:$H$2819,0),""),"")</f>
        <v/>
      </c>
      <c r="H1865" t="str">
        <f t="shared" si="28"/>
        <v/>
      </c>
    </row>
    <row r="1866" spans="1:8" ht="19.95" customHeight="1">
      <c r="A1866" s="5" t="str">
        <f>IF($G1866="","",INDEX('EDS Lookup'!$D$6:$D$2819,$G1866))</f>
        <v/>
      </c>
      <c r="B1866" s="5" t="str">
        <f>IF($G1866="","",INDEX('EDS Lookup'!$B$6:$B$2819,$G1866))</f>
        <v/>
      </c>
      <c r="C1866" s="17"/>
      <c r="D1866" s="6"/>
      <c r="E1866" s="7" t="str">
        <f>IF($G1866="","",INDEX('EDS Lookup'!$F$6:$F$2819,$G1866))</f>
        <v/>
      </c>
      <c r="F1866" s="8" t="str">
        <f>IF($G1866="","",INDEX('EDS Lookup'!$G$6:$G$2819,$G1866))</f>
        <v/>
      </c>
      <c r="G1866" t="str">
        <f>IF(1843&lt;=$B$4,IFERROR(MATCH(1843,'EDS Lookup'!$H$6:$H$2819,0),""),"")</f>
        <v/>
      </c>
      <c r="H1866" t="str">
        <f t="shared" si="28"/>
        <v/>
      </c>
    </row>
    <row r="1867" spans="1:8" ht="19.95" customHeight="1">
      <c r="A1867" s="5" t="str">
        <f>IF($G1867="","",INDEX('EDS Lookup'!$D$6:$D$2819,$G1867))</f>
        <v/>
      </c>
      <c r="B1867" s="5" t="str">
        <f>IF($G1867="","",INDEX('EDS Lookup'!$B$6:$B$2819,$G1867))</f>
        <v/>
      </c>
      <c r="C1867" s="17"/>
      <c r="D1867" s="6"/>
      <c r="E1867" s="7" t="str">
        <f>IF($G1867="","",INDEX('EDS Lookup'!$F$6:$F$2819,$G1867))</f>
        <v/>
      </c>
      <c r="F1867" s="8" t="str">
        <f>IF($G1867="","",INDEX('EDS Lookup'!$G$6:$G$2819,$G1867))</f>
        <v/>
      </c>
      <c r="G1867" t="str">
        <f>IF(1844&lt;=$B$4,IFERROR(MATCH(1844,'EDS Lookup'!$H$6:$H$2819,0),""),"")</f>
        <v/>
      </c>
      <c r="H1867" t="str">
        <f t="shared" si="28"/>
        <v/>
      </c>
    </row>
    <row r="1868" spans="1:8" ht="19.95" customHeight="1">
      <c r="A1868" s="5" t="str">
        <f>IF($G1868="","",INDEX('EDS Lookup'!$D$6:$D$2819,$G1868))</f>
        <v/>
      </c>
      <c r="B1868" s="5" t="str">
        <f>IF($G1868="","",INDEX('EDS Lookup'!$B$6:$B$2819,$G1868))</f>
        <v/>
      </c>
      <c r="C1868" s="17"/>
      <c r="D1868" s="6"/>
      <c r="E1868" s="7" t="str">
        <f>IF($G1868="","",INDEX('EDS Lookup'!$F$6:$F$2819,$G1868))</f>
        <v/>
      </c>
      <c r="F1868" s="8" t="str">
        <f>IF($G1868="","",INDEX('EDS Lookup'!$G$6:$G$2819,$G1868))</f>
        <v/>
      </c>
      <c r="G1868" t="str">
        <f>IF(1845&lt;=$B$4,IFERROR(MATCH(1845,'EDS Lookup'!$H$6:$H$2819,0),""),"")</f>
        <v/>
      </c>
      <c r="H1868" t="str">
        <f t="shared" si="28"/>
        <v/>
      </c>
    </row>
    <row r="1869" spans="1:8" ht="19.95" customHeight="1">
      <c r="A1869" s="5" t="str">
        <f>IF($G1869="","",INDEX('EDS Lookup'!$D$6:$D$2819,$G1869))</f>
        <v/>
      </c>
      <c r="B1869" s="5" t="str">
        <f>IF($G1869="","",INDEX('EDS Lookup'!$B$6:$B$2819,$G1869))</f>
        <v/>
      </c>
      <c r="C1869" s="17"/>
      <c r="D1869" s="6"/>
      <c r="E1869" s="7" t="str">
        <f>IF($G1869="","",INDEX('EDS Lookup'!$F$6:$F$2819,$G1869))</f>
        <v/>
      </c>
      <c r="F1869" s="8" t="str">
        <f>IF($G1869="","",INDEX('EDS Lookup'!$G$6:$G$2819,$G1869))</f>
        <v/>
      </c>
      <c r="G1869" t="str">
        <f>IF(1846&lt;=$B$4,IFERROR(MATCH(1846,'EDS Lookup'!$H$6:$H$2819,0),""),"")</f>
        <v/>
      </c>
      <c r="H1869" t="str">
        <f t="shared" si="28"/>
        <v/>
      </c>
    </row>
    <row r="1870" spans="1:8" ht="19.95" customHeight="1">
      <c r="A1870" s="5" t="str">
        <f>IF($G1870="","",INDEX('EDS Lookup'!$D$6:$D$2819,$G1870))</f>
        <v/>
      </c>
      <c r="B1870" s="5" t="str">
        <f>IF($G1870="","",INDEX('EDS Lookup'!$B$6:$B$2819,$G1870))</f>
        <v/>
      </c>
      <c r="C1870" s="17"/>
      <c r="D1870" s="6"/>
      <c r="E1870" s="7" t="str">
        <f>IF($G1870="","",INDEX('EDS Lookup'!$F$6:$F$2819,$G1870))</f>
        <v/>
      </c>
      <c r="F1870" s="8" t="str">
        <f>IF($G1870="","",INDEX('EDS Lookup'!$G$6:$G$2819,$G1870))</f>
        <v/>
      </c>
      <c r="G1870" t="str">
        <f>IF(1847&lt;=$B$4,IFERROR(MATCH(1847,'EDS Lookup'!$H$6:$H$2819,0),""),"")</f>
        <v/>
      </c>
      <c r="H1870" t="str">
        <f t="shared" si="28"/>
        <v/>
      </c>
    </row>
    <row r="1871" spans="1:8" ht="19.95" customHeight="1">
      <c r="A1871" s="5" t="str">
        <f>IF($G1871="","",INDEX('EDS Lookup'!$D$6:$D$2819,$G1871))</f>
        <v/>
      </c>
      <c r="B1871" s="5" t="str">
        <f>IF($G1871="","",INDEX('EDS Lookup'!$B$6:$B$2819,$G1871))</f>
        <v/>
      </c>
      <c r="C1871" s="17"/>
      <c r="D1871" s="6"/>
      <c r="E1871" s="7" t="str">
        <f>IF($G1871="","",INDEX('EDS Lookup'!$F$6:$F$2819,$G1871))</f>
        <v/>
      </c>
      <c r="F1871" s="8" t="str">
        <f>IF($G1871="","",INDEX('EDS Lookup'!$G$6:$G$2819,$G1871))</f>
        <v/>
      </c>
      <c r="G1871" t="str">
        <f>IF(1848&lt;=$B$4,IFERROR(MATCH(1848,'EDS Lookup'!$H$6:$H$2819,0),""),"")</f>
        <v/>
      </c>
      <c r="H1871" t="str">
        <f t="shared" si="28"/>
        <v/>
      </c>
    </row>
    <row r="1872" spans="1:8" ht="19.95" customHeight="1">
      <c r="A1872" s="5" t="str">
        <f>IF($G1872="","",INDEX('EDS Lookup'!$D$6:$D$2819,$G1872))</f>
        <v/>
      </c>
      <c r="B1872" s="5" t="str">
        <f>IF($G1872="","",INDEX('EDS Lookup'!$B$6:$B$2819,$G1872))</f>
        <v/>
      </c>
      <c r="C1872" s="17"/>
      <c r="D1872" s="6"/>
      <c r="E1872" s="7" t="str">
        <f>IF($G1872="","",INDEX('EDS Lookup'!$F$6:$F$2819,$G1872))</f>
        <v/>
      </c>
      <c r="F1872" s="8" t="str">
        <f>IF($G1872="","",INDEX('EDS Lookup'!$G$6:$G$2819,$G1872))</f>
        <v/>
      </c>
      <c r="G1872" t="str">
        <f>IF(1849&lt;=$B$4,IFERROR(MATCH(1849,'EDS Lookup'!$H$6:$H$2819,0),""),"")</f>
        <v/>
      </c>
      <c r="H1872" t="str">
        <f t="shared" si="28"/>
        <v/>
      </c>
    </row>
    <row r="1873" spans="1:8" ht="19.95" customHeight="1">
      <c r="A1873" s="5" t="str">
        <f>IF($G1873="","",INDEX('EDS Lookup'!$D$6:$D$2819,$G1873))</f>
        <v/>
      </c>
      <c r="B1873" s="5" t="str">
        <f>IF($G1873="","",INDEX('EDS Lookup'!$B$6:$B$2819,$G1873))</f>
        <v/>
      </c>
      <c r="C1873" s="17"/>
      <c r="D1873" s="6"/>
      <c r="E1873" s="7" t="str">
        <f>IF($G1873="","",INDEX('EDS Lookup'!$F$6:$F$2819,$G1873))</f>
        <v/>
      </c>
      <c r="F1873" s="8" t="str">
        <f>IF($G1873="","",INDEX('EDS Lookup'!$G$6:$G$2819,$G1873))</f>
        <v/>
      </c>
      <c r="G1873" t="str">
        <f>IF(1850&lt;=$B$4,IFERROR(MATCH(1850,'EDS Lookup'!$H$6:$H$2819,0),""),"")</f>
        <v/>
      </c>
      <c r="H1873" t="str">
        <f t="shared" si="28"/>
        <v/>
      </c>
    </row>
    <row r="1874" spans="1:8" ht="19.95" customHeight="1">
      <c r="A1874" s="5" t="str">
        <f>IF($G1874="","",INDEX('EDS Lookup'!$D$6:$D$2819,$G1874))</f>
        <v/>
      </c>
      <c r="B1874" s="5" t="str">
        <f>IF($G1874="","",INDEX('EDS Lookup'!$B$6:$B$2819,$G1874))</f>
        <v/>
      </c>
      <c r="C1874" s="17"/>
      <c r="D1874" s="6"/>
      <c r="E1874" s="7" t="str">
        <f>IF($G1874="","",INDEX('EDS Lookup'!$F$6:$F$2819,$G1874))</f>
        <v/>
      </c>
      <c r="F1874" s="8" t="str">
        <f>IF($G1874="","",INDEX('EDS Lookup'!$G$6:$G$2819,$G1874))</f>
        <v/>
      </c>
      <c r="G1874" t="str">
        <f>IF(1851&lt;=$B$4,IFERROR(MATCH(1851,'EDS Lookup'!$H$6:$H$2819,0),""),"")</f>
        <v/>
      </c>
      <c r="H1874" t="str">
        <f t="shared" si="28"/>
        <v/>
      </c>
    </row>
    <row r="1875" spans="1:8" ht="19.95" customHeight="1">
      <c r="A1875" s="5" t="str">
        <f>IF($G1875="","",INDEX('EDS Lookup'!$D$6:$D$2819,$G1875))</f>
        <v/>
      </c>
      <c r="B1875" s="5" t="str">
        <f>IF($G1875="","",INDEX('EDS Lookup'!$B$6:$B$2819,$G1875))</f>
        <v/>
      </c>
      <c r="C1875" s="17"/>
      <c r="D1875" s="6"/>
      <c r="E1875" s="7" t="str">
        <f>IF($G1875="","",INDEX('EDS Lookup'!$F$6:$F$2819,$G1875))</f>
        <v/>
      </c>
      <c r="F1875" s="8" t="str">
        <f>IF($G1875="","",INDEX('EDS Lookup'!$G$6:$G$2819,$G1875))</f>
        <v/>
      </c>
      <c r="G1875" t="str">
        <f>IF(1852&lt;=$B$4,IFERROR(MATCH(1852,'EDS Lookup'!$H$6:$H$2819,0),""),"")</f>
        <v/>
      </c>
      <c r="H1875" t="str">
        <f t="shared" si="28"/>
        <v/>
      </c>
    </row>
    <row r="1876" spans="1:8" ht="19.95" customHeight="1">
      <c r="A1876" s="5" t="str">
        <f>IF($G1876="","",INDEX('EDS Lookup'!$D$6:$D$2819,$G1876))</f>
        <v/>
      </c>
      <c r="B1876" s="5" t="str">
        <f>IF($G1876="","",INDEX('EDS Lookup'!$B$6:$B$2819,$G1876))</f>
        <v/>
      </c>
      <c r="C1876" s="17"/>
      <c r="D1876" s="6"/>
      <c r="E1876" s="7" t="str">
        <f>IF($G1876="","",INDEX('EDS Lookup'!$F$6:$F$2819,$G1876))</f>
        <v/>
      </c>
      <c r="F1876" s="8" t="str">
        <f>IF($G1876="","",INDEX('EDS Lookup'!$G$6:$G$2819,$G1876))</f>
        <v/>
      </c>
      <c r="G1876" t="str">
        <f>IF(1853&lt;=$B$4,IFERROR(MATCH(1853,'EDS Lookup'!$H$6:$H$2819,0),""),"")</f>
        <v/>
      </c>
      <c r="H1876" t="str">
        <f t="shared" si="28"/>
        <v/>
      </c>
    </row>
    <row r="1877" spans="1:8" ht="19.95" customHeight="1">
      <c r="A1877" s="5" t="str">
        <f>IF($G1877="","",INDEX('EDS Lookup'!$D$6:$D$2819,$G1877))</f>
        <v/>
      </c>
      <c r="B1877" s="5" t="str">
        <f>IF($G1877="","",INDEX('EDS Lookup'!$B$6:$B$2819,$G1877))</f>
        <v/>
      </c>
      <c r="C1877" s="17"/>
      <c r="D1877" s="6"/>
      <c r="E1877" s="7" t="str">
        <f>IF($G1877="","",INDEX('EDS Lookup'!$F$6:$F$2819,$G1877))</f>
        <v/>
      </c>
      <c r="F1877" s="8" t="str">
        <f>IF($G1877="","",INDEX('EDS Lookup'!$G$6:$G$2819,$G1877))</f>
        <v/>
      </c>
      <c r="G1877" t="str">
        <f>IF(1854&lt;=$B$4,IFERROR(MATCH(1854,'EDS Lookup'!$H$6:$H$2819,0),""),"")</f>
        <v/>
      </c>
      <c r="H1877" t="str">
        <f t="shared" si="28"/>
        <v/>
      </c>
    </row>
    <row r="1878" spans="1:8" ht="19.95" customHeight="1">
      <c r="A1878" s="5" t="str">
        <f>IF($G1878="","",INDEX('EDS Lookup'!$D$6:$D$2819,$G1878))</f>
        <v/>
      </c>
      <c r="B1878" s="5" t="str">
        <f>IF($G1878="","",INDEX('EDS Lookup'!$B$6:$B$2819,$G1878))</f>
        <v/>
      </c>
      <c r="C1878" s="17"/>
      <c r="D1878" s="6"/>
      <c r="E1878" s="7" t="str">
        <f>IF($G1878="","",INDEX('EDS Lookup'!$F$6:$F$2819,$G1878))</f>
        <v/>
      </c>
      <c r="F1878" s="8" t="str">
        <f>IF($G1878="","",INDEX('EDS Lookup'!$G$6:$G$2819,$G1878))</f>
        <v/>
      </c>
      <c r="G1878" t="str">
        <f>IF(1855&lt;=$B$4,IFERROR(MATCH(1855,'EDS Lookup'!$H$6:$H$2819,0),""),"")</f>
        <v/>
      </c>
      <c r="H1878" t="str">
        <f t="shared" si="28"/>
        <v/>
      </c>
    </row>
    <row r="1879" spans="1:8" ht="19.95" customHeight="1">
      <c r="A1879" s="5" t="str">
        <f>IF($G1879="","",INDEX('EDS Lookup'!$D$6:$D$2819,$G1879))</f>
        <v/>
      </c>
      <c r="B1879" s="5" t="str">
        <f>IF($G1879="","",INDEX('EDS Lookup'!$B$6:$B$2819,$G1879))</f>
        <v/>
      </c>
      <c r="C1879" s="17"/>
      <c r="D1879" s="6"/>
      <c r="E1879" s="7" t="str">
        <f>IF($G1879="","",INDEX('EDS Lookup'!$F$6:$F$2819,$G1879))</f>
        <v/>
      </c>
      <c r="F1879" s="8" t="str">
        <f>IF($G1879="","",INDEX('EDS Lookup'!$G$6:$G$2819,$G1879))</f>
        <v/>
      </c>
      <c r="G1879" t="str">
        <f>IF(1856&lt;=$B$4,IFERROR(MATCH(1856,'EDS Lookup'!$H$6:$H$2819,0),""),"")</f>
        <v/>
      </c>
      <c r="H1879" t="str">
        <f t="shared" si="28"/>
        <v/>
      </c>
    </row>
    <row r="1880" spans="1:8" ht="19.95" customHeight="1">
      <c r="A1880" s="5" t="str">
        <f>IF($G1880="","",INDEX('EDS Lookup'!$D$6:$D$2819,$G1880))</f>
        <v/>
      </c>
      <c r="B1880" s="5" t="str">
        <f>IF($G1880="","",INDEX('EDS Lookup'!$B$6:$B$2819,$G1880))</f>
        <v/>
      </c>
      <c r="C1880" s="17"/>
      <c r="D1880" s="6"/>
      <c r="E1880" s="7" t="str">
        <f>IF($G1880="","",INDEX('EDS Lookup'!$F$6:$F$2819,$G1880))</f>
        <v/>
      </c>
      <c r="F1880" s="8" t="str">
        <f>IF($G1880="","",INDEX('EDS Lookup'!$G$6:$G$2819,$G1880))</f>
        <v/>
      </c>
      <c r="G1880" t="str">
        <f>IF(1857&lt;=$B$4,IFERROR(MATCH(1857,'EDS Lookup'!$H$6:$H$2819,0),""),"")</f>
        <v/>
      </c>
      <c r="H1880" t="str">
        <f t="shared" ref="H1880:H1943" si="29">IF(F1880="&lt;5",5,IF(F1880="&gt;95",95,IF(ISNUMBER(F1880),F1880,"")))</f>
        <v/>
      </c>
    </row>
    <row r="1881" spans="1:8" ht="19.95" customHeight="1">
      <c r="A1881" s="5" t="str">
        <f>IF($G1881="","",INDEX('EDS Lookup'!$D$6:$D$2819,$G1881))</f>
        <v/>
      </c>
      <c r="B1881" s="5" t="str">
        <f>IF($G1881="","",INDEX('EDS Lookup'!$B$6:$B$2819,$G1881))</f>
        <v/>
      </c>
      <c r="C1881" s="17"/>
      <c r="D1881" s="6"/>
      <c r="E1881" s="7" t="str">
        <f>IF($G1881="","",INDEX('EDS Lookup'!$F$6:$F$2819,$G1881))</f>
        <v/>
      </c>
      <c r="F1881" s="8" t="str">
        <f>IF($G1881="","",INDEX('EDS Lookup'!$G$6:$G$2819,$G1881))</f>
        <v/>
      </c>
      <c r="G1881" t="str">
        <f>IF(1858&lt;=$B$4,IFERROR(MATCH(1858,'EDS Lookup'!$H$6:$H$2819,0),""),"")</f>
        <v/>
      </c>
      <c r="H1881" t="str">
        <f t="shared" si="29"/>
        <v/>
      </c>
    </row>
    <row r="1882" spans="1:8" ht="19.95" customHeight="1">
      <c r="A1882" s="5" t="str">
        <f>IF($G1882="","",INDEX('EDS Lookup'!$D$6:$D$2819,$G1882))</f>
        <v/>
      </c>
      <c r="B1882" s="5" t="str">
        <f>IF($G1882="","",INDEX('EDS Lookup'!$B$6:$B$2819,$G1882))</f>
        <v/>
      </c>
      <c r="C1882" s="17"/>
      <c r="D1882" s="6"/>
      <c r="E1882" s="7" t="str">
        <f>IF($G1882="","",INDEX('EDS Lookup'!$F$6:$F$2819,$G1882))</f>
        <v/>
      </c>
      <c r="F1882" s="8" t="str">
        <f>IF($G1882="","",INDEX('EDS Lookup'!$G$6:$G$2819,$G1882))</f>
        <v/>
      </c>
      <c r="G1882" t="str">
        <f>IF(1859&lt;=$B$4,IFERROR(MATCH(1859,'EDS Lookup'!$H$6:$H$2819,0),""),"")</f>
        <v/>
      </c>
      <c r="H1882" t="str">
        <f t="shared" si="29"/>
        <v/>
      </c>
    </row>
    <row r="1883" spans="1:8" ht="19.95" customHeight="1">
      <c r="A1883" s="5" t="str">
        <f>IF($G1883="","",INDEX('EDS Lookup'!$D$6:$D$2819,$G1883))</f>
        <v/>
      </c>
      <c r="B1883" s="5" t="str">
        <f>IF($G1883="","",INDEX('EDS Lookup'!$B$6:$B$2819,$G1883))</f>
        <v/>
      </c>
      <c r="C1883" s="17"/>
      <c r="D1883" s="6"/>
      <c r="E1883" s="7" t="str">
        <f>IF($G1883="","",INDEX('EDS Lookup'!$F$6:$F$2819,$G1883))</f>
        <v/>
      </c>
      <c r="F1883" s="8" t="str">
        <f>IF($G1883="","",INDEX('EDS Lookup'!$G$6:$G$2819,$G1883))</f>
        <v/>
      </c>
      <c r="G1883" t="str">
        <f>IF(1860&lt;=$B$4,IFERROR(MATCH(1860,'EDS Lookup'!$H$6:$H$2819,0),""),"")</f>
        <v/>
      </c>
      <c r="H1883" t="str">
        <f t="shared" si="29"/>
        <v/>
      </c>
    </row>
    <row r="1884" spans="1:8" ht="19.95" customHeight="1">
      <c r="A1884" s="5" t="str">
        <f>IF($G1884="","",INDEX('EDS Lookup'!$D$6:$D$2819,$G1884))</f>
        <v/>
      </c>
      <c r="B1884" s="5" t="str">
        <f>IF($G1884="","",INDEX('EDS Lookup'!$B$6:$B$2819,$G1884))</f>
        <v/>
      </c>
      <c r="C1884" s="17"/>
      <c r="D1884" s="6"/>
      <c r="E1884" s="7" t="str">
        <f>IF($G1884="","",INDEX('EDS Lookup'!$F$6:$F$2819,$G1884))</f>
        <v/>
      </c>
      <c r="F1884" s="8" t="str">
        <f>IF($G1884="","",INDEX('EDS Lookup'!$G$6:$G$2819,$G1884))</f>
        <v/>
      </c>
      <c r="G1884" t="str">
        <f>IF(1861&lt;=$B$4,IFERROR(MATCH(1861,'EDS Lookup'!$H$6:$H$2819,0),""),"")</f>
        <v/>
      </c>
      <c r="H1884" t="str">
        <f t="shared" si="29"/>
        <v/>
      </c>
    </row>
    <row r="1885" spans="1:8" ht="19.95" customHeight="1">
      <c r="A1885" s="5" t="str">
        <f>IF($G1885="","",INDEX('EDS Lookup'!$D$6:$D$2819,$G1885))</f>
        <v/>
      </c>
      <c r="B1885" s="5" t="str">
        <f>IF($G1885="","",INDEX('EDS Lookup'!$B$6:$B$2819,$G1885))</f>
        <v/>
      </c>
      <c r="C1885" s="17"/>
      <c r="D1885" s="6"/>
      <c r="E1885" s="7" t="str">
        <f>IF($G1885="","",INDEX('EDS Lookup'!$F$6:$F$2819,$G1885))</f>
        <v/>
      </c>
      <c r="F1885" s="8" t="str">
        <f>IF($G1885="","",INDEX('EDS Lookup'!$G$6:$G$2819,$G1885))</f>
        <v/>
      </c>
      <c r="G1885" t="str">
        <f>IF(1862&lt;=$B$4,IFERROR(MATCH(1862,'EDS Lookup'!$H$6:$H$2819,0),""),"")</f>
        <v/>
      </c>
      <c r="H1885" t="str">
        <f t="shared" si="29"/>
        <v/>
      </c>
    </row>
    <row r="1886" spans="1:8" ht="19.95" customHeight="1">
      <c r="A1886" s="5" t="str">
        <f>IF($G1886="","",INDEX('EDS Lookup'!$D$6:$D$2819,$G1886))</f>
        <v/>
      </c>
      <c r="B1886" s="5" t="str">
        <f>IF($G1886="","",INDEX('EDS Lookup'!$B$6:$B$2819,$G1886))</f>
        <v/>
      </c>
      <c r="C1886" s="17"/>
      <c r="D1886" s="6"/>
      <c r="E1886" s="7" t="str">
        <f>IF($G1886="","",INDEX('EDS Lookup'!$F$6:$F$2819,$G1886))</f>
        <v/>
      </c>
      <c r="F1886" s="8" t="str">
        <f>IF($G1886="","",INDEX('EDS Lookup'!$G$6:$G$2819,$G1886))</f>
        <v/>
      </c>
      <c r="G1886" t="str">
        <f>IF(1863&lt;=$B$4,IFERROR(MATCH(1863,'EDS Lookup'!$H$6:$H$2819,0),""),"")</f>
        <v/>
      </c>
      <c r="H1886" t="str">
        <f t="shared" si="29"/>
        <v/>
      </c>
    </row>
    <row r="1887" spans="1:8" ht="19.95" customHeight="1">
      <c r="A1887" s="5" t="str">
        <f>IF($G1887="","",INDEX('EDS Lookup'!$D$6:$D$2819,$G1887))</f>
        <v/>
      </c>
      <c r="B1887" s="5" t="str">
        <f>IF($G1887="","",INDEX('EDS Lookup'!$B$6:$B$2819,$G1887))</f>
        <v/>
      </c>
      <c r="C1887" s="17"/>
      <c r="D1887" s="6"/>
      <c r="E1887" s="7" t="str">
        <f>IF($G1887="","",INDEX('EDS Lookup'!$F$6:$F$2819,$G1887))</f>
        <v/>
      </c>
      <c r="F1887" s="8" t="str">
        <f>IF($G1887="","",INDEX('EDS Lookup'!$G$6:$G$2819,$G1887))</f>
        <v/>
      </c>
      <c r="G1887" t="str">
        <f>IF(1864&lt;=$B$4,IFERROR(MATCH(1864,'EDS Lookup'!$H$6:$H$2819,0),""),"")</f>
        <v/>
      </c>
      <c r="H1887" t="str">
        <f t="shared" si="29"/>
        <v/>
      </c>
    </row>
    <row r="1888" spans="1:8" ht="19.95" customHeight="1">
      <c r="A1888" s="5" t="str">
        <f>IF($G1888="","",INDEX('EDS Lookup'!$D$6:$D$2819,$G1888))</f>
        <v/>
      </c>
      <c r="B1888" s="5" t="str">
        <f>IF($G1888="","",INDEX('EDS Lookup'!$B$6:$B$2819,$G1888))</f>
        <v/>
      </c>
      <c r="C1888" s="17"/>
      <c r="D1888" s="6"/>
      <c r="E1888" s="7" t="str">
        <f>IF($G1888="","",INDEX('EDS Lookup'!$F$6:$F$2819,$G1888))</f>
        <v/>
      </c>
      <c r="F1888" s="8" t="str">
        <f>IF($G1888="","",INDEX('EDS Lookup'!$G$6:$G$2819,$G1888))</f>
        <v/>
      </c>
      <c r="G1888" t="str">
        <f>IF(1865&lt;=$B$4,IFERROR(MATCH(1865,'EDS Lookup'!$H$6:$H$2819,0),""),"")</f>
        <v/>
      </c>
      <c r="H1888" t="str">
        <f t="shared" si="29"/>
        <v/>
      </c>
    </row>
    <row r="1889" spans="1:8" ht="19.95" customHeight="1">
      <c r="A1889" s="5" t="str">
        <f>IF($G1889="","",INDEX('EDS Lookup'!$D$6:$D$2819,$G1889))</f>
        <v/>
      </c>
      <c r="B1889" s="5" t="str">
        <f>IF($G1889="","",INDEX('EDS Lookup'!$B$6:$B$2819,$G1889))</f>
        <v/>
      </c>
      <c r="C1889" s="17"/>
      <c r="D1889" s="6"/>
      <c r="E1889" s="7" t="str">
        <f>IF($G1889="","",INDEX('EDS Lookup'!$F$6:$F$2819,$G1889))</f>
        <v/>
      </c>
      <c r="F1889" s="8" t="str">
        <f>IF($G1889="","",INDEX('EDS Lookup'!$G$6:$G$2819,$G1889))</f>
        <v/>
      </c>
      <c r="G1889" t="str">
        <f>IF(1866&lt;=$B$4,IFERROR(MATCH(1866,'EDS Lookup'!$H$6:$H$2819,0),""),"")</f>
        <v/>
      </c>
      <c r="H1889" t="str">
        <f t="shared" si="29"/>
        <v/>
      </c>
    </row>
    <row r="1890" spans="1:8" ht="19.95" customHeight="1">
      <c r="A1890" s="5" t="str">
        <f>IF($G1890="","",INDEX('EDS Lookup'!$D$6:$D$2819,$G1890))</f>
        <v/>
      </c>
      <c r="B1890" s="5" t="str">
        <f>IF($G1890="","",INDEX('EDS Lookup'!$B$6:$B$2819,$G1890))</f>
        <v/>
      </c>
      <c r="C1890" s="17"/>
      <c r="D1890" s="6"/>
      <c r="E1890" s="7" t="str">
        <f>IF($G1890="","",INDEX('EDS Lookup'!$F$6:$F$2819,$G1890))</f>
        <v/>
      </c>
      <c r="F1890" s="8" t="str">
        <f>IF($G1890="","",INDEX('EDS Lookup'!$G$6:$G$2819,$G1890))</f>
        <v/>
      </c>
      <c r="G1890" t="str">
        <f>IF(1867&lt;=$B$4,IFERROR(MATCH(1867,'EDS Lookup'!$H$6:$H$2819,0),""),"")</f>
        <v/>
      </c>
      <c r="H1890" t="str">
        <f t="shared" si="29"/>
        <v/>
      </c>
    </row>
    <row r="1891" spans="1:8" ht="19.95" customHeight="1">
      <c r="A1891" s="5" t="str">
        <f>IF($G1891="","",INDEX('EDS Lookup'!$D$6:$D$2819,$G1891))</f>
        <v/>
      </c>
      <c r="B1891" s="5" t="str">
        <f>IF($G1891="","",INDEX('EDS Lookup'!$B$6:$B$2819,$G1891))</f>
        <v/>
      </c>
      <c r="C1891" s="17"/>
      <c r="D1891" s="6"/>
      <c r="E1891" s="7" t="str">
        <f>IF($G1891="","",INDEX('EDS Lookup'!$F$6:$F$2819,$G1891))</f>
        <v/>
      </c>
      <c r="F1891" s="8" t="str">
        <f>IF($G1891="","",INDEX('EDS Lookup'!$G$6:$G$2819,$G1891))</f>
        <v/>
      </c>
      <c r="G1891" t="str">
        <f>IF(1868&lt;=$B$4,IFERROR(MATCH(1868,'EDS Lookup'!$H$6:$H$2819,0),""),"")</f>
        <v/>
      </c>
      <c r="H1891" t="str">
        <f t="shared" si="29"/>
        <v/>
      </c>
    </row>
    <row r="1892" spans="1:8" ht="19.95" customHeight="1">
      <c r="A1892" s="5" t="str">
        <f>IF($G1892="","",INDEX('EDS Lookup'!$D$6:$D$2819,$G1892))</f>
        <v/>
      </c>
      <c r="B1892" s="5" t="str">
        <f>IF($G1892="","",INDEX('EDS Lookup'!$B$6:$B$2819,$G1892))</f>
        <v/>
      </c>
      <c r="C1892" s="17"/>
      <c r="D1892" s="6"/>
      <c r="E1892" s="7" t="str">
        <f>IF($G1892="","",INDEX('EDS Lookup'!$F$6:$F$2819,$G1892))</f>
        <v/>
      </c>
      <c r="F1892" s="8" t="str">
        <f>IF($G1892="","",INDEX('EDS Lookup'!$G$6:$G$2819,$G1892))</f>
        <v/>
      </c>
      <c r="G1892" t="str">
        <f>IF(1869&lt;=$B$4,IFERROR(MATCH(1869,'EDS Lookup'!$H$6:$H$2819,0),""),"")</f>
        <v/>
      </c>
      <c r="H1892" t="str">
        <f t="shared" si="29"/>
        <v/>
      </c>
    </row>
    <row r="1893" spans="1:8" ht="19.95" customHeight="1">
      <c r="A1893" s="5" t="str">
        <f>IF($G1893="","",INDEX('EDS Lookup'!$D$6:$D$2819,$G1893))</f>
        <v/>
      </c>
      <c r="B1893" s="5" t="str">
        <f>IF($G1893="","",INDEX('EDS Lookup'!$B$6:$B$2819,$G1893))</f>
        <v/>
      </c>
      <c r="C1893" s="17"/>
      <c r="D1893" s="6"/>
      <c r="E1893" s="7" t="str">
        <f>IF($G1893="","",INDEX('EDS Lookup'!$F$6:$F$2819,$G1893))</f>
        <v/>
      </c>
      <c r="F1893" s="8" t="str">
        <f>IF($G1893="","",INDEX('EDS Lookup'!$G$6:$G$2819,$G1893))</f>
        <v/>
      </c>
      <c r="G1893" t="str">
        <f>IF(1870&lt;=$B$4,IFERROR(MATCH(1870,'EDS Lookup'!$H$6:$H$2819,0),""),"")</f>
        <v/>
      </c>
      <c r="H1893" t="str">
        <f t="shared" si="29"/>
        <v/>
      </c>
    </row>
    <row r="1894" spans="1:8" ht="19.95" customHeight="1">
      <c r="A1894" s="5" t="str">
        <f>IF($G1894="","",INDEX('EDS Lookup'!$D$6:$D$2819,$G1894))</f>
        <v/>
      </c>
      <c r="B1894" s="5" t="str">
        <f>IF($G1894="","",INDEX('EDS Lookup'!$B$6:$B$2819,$G1894))</f>
        <v/>
      </c>
      <c r="C1894" s="17"/>
      <c r="D1894" s="6"/>
      <c r="E1894" s="7" t="str">
        <f>IF($G1894="","",INDEX('EDS Lookup'!$F$6:$F$2819,$G1894))</f>
        <v/>
      </c>
      <c r="F1894" s="8" t="str">
        <f>IF($G1894="","",INDEX('EDS Lookup'!$G$6:$G$2819,$G1894))</f>
        <v/>
      </c>
      <c r="G1894" t="str">
        <f>IF(1871&lt;=$B$4,IFERROR(MATCH(1871,'EDS Lookup'!$H$6:$H$2819,0),""),"")</f>
        <v/>
      </c>
      <c r="H1894" t="str">
        <f t="shared" si="29"/>
        <v/>
      </c>
    </row>
    <row r="1895" spans="1:8" ht="19.95" customHeight="1">
      <c r="A1895" s="5" t="str">
        <f>IF($G1895="","",INDEX('EDS Lookup'!$D$6:$D$2819,$G1895))</f>
        <v/>
      </c>
      <c r="B1895" s="5" t="str">
        <f>IF($G1895="","",INDEX('EDS Lookup'!$B$6:$B$2819,$G1895))</f>
        <v/>
      </c>
      <c r="C1895" s="17"/>
      <c r="D1895" s="6"/>
      <c r="E1895" s="7" t="str">
        <f>IF($G1895="","",INDEX('EDS Lookup'!$F$6:$F$2819,$G1895))</f>
        <v/>
      </c>
      <c r="F1895" s="8" t="str">
        <f>IF($G1895="","",INDEX('EDS Lookup'!$G$6:$G$2819,$G1895))</f>
        <v/>
      </c>
      <c r="G1895" t="str">
        <f>IF(1872&lt;=$B$4,IFERROR(MATCH(1872,'EDS Lookup'!$H$6:$H$2819,0),""),"")</f>
        <v/>
      </c>
      <c r="H1895" t="str">
        <f t="shared" si="29"/>
        <v/>
      </c>
    </row>
    <row r="1896" spans="1:8" ht="19.95" customHeight="1">
      <c r="A1896" s="5" t="str">
        <f>IF($G1896="","",INDEX('EDS Lookup'!$D$6:$D$2819,$G1896))</f>
        <v/>
      </c>
      <c r="B1896" s="5" t="str">
        <f>IF($G1896="","",INDEX('EDS Lookup'!$B$6:$B$2819,$G1896))</f>
        <v/>
      </c>
      <c r="C1896" s="17"/>
      <c r="D1896" s="6"/>
      <c r="E1896" s="7" t="str">
        <f>IF($G1896="","",INDEX('EDS Lookup'!$F$6:$F$2819,$G1896))</f>
        <v/>
      </c>
      <c r="F1896" s="8" t="str">
        <f>IF($G1896="","",INDEX('EDS Lookup'!$G$6:$G$2819,$G1896))</f>
        <v/>
      </c>
      <c r="G1896" t="str">
        <f>IF(1873&lt;=$B$4,IFERROR(MATCH(1873,'EDS Lookup'!$H$6:$H$2819,0),""),"")</f>
        <v/>
      </c>
      <c r="H1896" t="str">
        <f t="shared" si="29"/>
        <v/>
      </c>
    </row>
    <row r="1897" spans="1:8" ht="19.95" customHeight="1">
      <c r="A1897" s="5" t="str">
        <f>IF($G1897="","",INDEX('EDS Lookup'!$D$6:$D$2819,$G1897))</f>
        <v/>
      </c>
      <c r="B1897" s="5" t="str">
        <f>IF($G1897="","",INDEX('EDS Lookup'!$B$6:$B$2819,$G1897))</f>
        <v/>
      </c>
      <c r="C1897" s="17"/>
      <c r="D1897" s="6"/>
      <c r="E1897" s="7" t="str">
        <f>IF($G1897="","",INDEX('EDS Lookup'!$F$6:$F$2819,$G1897))</f>
        <v/>
      </c>
      <c r="F1897" s="8" t="str">
        <f>IF($G1897="","",INDEX('EDS Lookup'!$G$6:$G$2819,$G1897))</f>
        <v/>
      </c>
      <c r="G1897" t="str">
        <f>IF(1874&lt;=$B$4,IFERROR(MATCH(1874,'EDS Lookup'!$H$6:$H$2819,0),""),"")</f>
        <v/>
      </c>
      <c r="H1897" t="str">
        <f t="shared" si="29"/>
        <v/>
      </c>
    </row>
    <row r="1898" spans="1:8" ht="19.95" customHeight="1">
      <c r="A1898" s="5" t="str">
        <f>IF($G1898="","",INDEX('EDS Lookup'!$D$6:$D$2819,$G1898))</f>
        <v/>
      </c>
      <c r="B1898" s="5" t="str">
        <f>IF($G1898="","",INDEX('EDS Lookup'!$B$6:$B$2819,$G1898))</f>
        <v/>
      </c>
      <c r="C1898" s="17"/>
      <c r="D1898" s="6"/>
      <c r="E1898" s="7" t="str">
        <f>IF($G1898="","",INDEX('EDS Lookup'!$F$6:$F$2819,$G1898))</f>
        <v/>
      </c>
      <c r="F1898" s="8" t="str">
        <f>IF($G1898="","",INDEX('EDS Lookup'!$G$6:$G$2819,$G1898))</f>
        <v/>
      </c>
      <c r="G1898" t="str">
        <f>IF(1875&lt;=$B$4,IFERROR(MATCH(1875,'EDS Lookup'!$H$6:$H$2819,0),""),"")</f>
        <v/>
      </c>
      <c r="H1898" t="str">
        <f t="shared" si="29"/>
        <v/>
      </c>
    </row>
    <row r="1899" spans="1:8" ht="19.95" customHeight="1">
      <c r="A1899" s="5" t="str">
        <f>IF($G1899="","",INDEX('EDS Lookup'!$D$6:$D$2819,$G1899))</f>
        <v/>
      </c>
      <c r="B1899" s="5" t="str">
        <f>IF($G1899="","",INDEX('EDS Lookup'!$B$6:$B$2819,$G1899))</f>
        <v/>
      </c>
      <c r="C1899" s="17"/>
      <c r="D1899" s="6"/>
      <c r="E1899" s="7" t="str">
        <f>IF($G1899="","",INDEX('EDS Lookup'!$F$6:$F$2819,$G1899))</f>
        <v/>
      </c>
      <c r="F1899" s="8" t="str">
        <f>IF($G1899="","",INDEX('EDS Lookup'!$G$6:$G$2819,$G1899))</f>
        <v/>
      </c>
      <c r="G1899" t="str">
        <f>IF(1876&lt;=$B$4,IFERROR(MATCH(1876,'EDS Lookup'!$H$6:$H$2819,0),""),"")</f>
        <v/>
      </c>
      <c r="H1899" t="str">
        <f t="shared" si="29"/>
        <v/>
      </c>
    </row>
    <row r="1900" spans="1:8" ht="19.95" customHeight="1">
      <c r="A1900" s="5" t="str">
        <f>IF($G1900="","",INDEX('EDS Lookup'!$D$6:$D$2819,$G1900))</f>
        <v/>
      </c>
      <c r="B1900" s="5" t="str">
        <f>IF($G1900="","",INDEX('EDS Lookup'!$B$6:$B$2819,$G1900))</f>
        <v/>
      </c>
      <c r="C1900" s="17"/>
      <c r="D1900" s="6"/>
      <c r="E1900" s="7" t="str">
        <f>IF($G1900="","",INDEX('EDS Lookup'!$F$6:$F$2819,$G1900))</f>
        <v/>
      </c>
      <c r="F1900" s="8" t="str">
        <f>IF($G1900="","",INDEX('EDS Lookup'!$G$6:$G$2819,$G1900))</f>
        <v/>
      </c>
      <c r="G1900" t="str">
        <f>IF(1877&lt;=$B$4,IFERROR(MATCH(1877,'EDS Lookup'!$H$6:$H$2819,0),""),"")</f>
        <v/>
      </c>
      <c r="H1900" t="str">
        <f t="shared" si="29"/>
        <v/>
      </c>
    </row>
    <row r="1901" spans="1:8" ht="19.95" customHeight="1">
      <c r="A1901" s="5" t="str">
        <f>IF($G1901="","",INDEX('EDS Lookup'!$D$6:$D$2819,$G1901))</f>
        <v/>
      </c>
      <c r="B1901" s="5" t="str">
        <f>IF($G1901="","",INDEX('EDS Lookup'!$B$6:$B$2819,$G1901))</f>
        <v/>
      </c>
      <c r="C1901" s="17"/>
      <c r="D1901" s="6"/>
      <c r="E1901" s="7" t="str">
        <f>IF($G1901="","",INDEX('EDS Lookup'!$F$6:$F$2819,$G1901))</f>
        <v/>
      </c>
      <c r="F1901" s="8" t="str">
        <f>IF($G1901="","",INDEX('EDS Lookup'!$G$6:$G$2819,$G1901))</f>
        <v/>
      </c>
      <c r="G1901" t="str">
        <f>IF(1878&lt;=$B$4,IFERROR(MATCH(1878,'EDS Lookup'!$H$6:$H$2819,0),""),"")</f>
        <v/>
      </c>
      <c r="H1901" t="str">
        <f t="shared" si="29"/>
        <v/>
      </c>
    </row>
    <row r="1902" spans="1:8" ht="19.95" customHeight="1">
      <c r="A1902" s="5" t="str">
        <f>IF($G1902="","",INDEX('EDS Lookup'!$D$6:$D$2819,$G1902))</f>
        <v/>
      </c>
      <c r="B1902" s="5" t="str">
        <f>IF($G1902="","",INDEX('EDS Lookup'!$B$6:$B$2819,$G1902))</f>
        <v/>
      </c>
      <c r="C1902" s="17"/>
      <c r="D1902" s="6"/>
      <c r="E1902" s="7" t="str">
        <f>IF($G1902="","",INDEX('EDS Lookup'!$F$6:$F$2819,$G1902))</f>
        <v/>
      </c>
      <c r="F1902" s="8" t="str">
        <f>IF($G1902="","",INDEX('EDS Lookup'!$G$6:$G$2819,$G1902))</f>
        <v/>
      </c>
      <c r="G1902" t="str">
        <f>IF(1879&lt;=$B$4,IFERROR(MATCH(1879,'EDS Lookup'!$H$6:$H$2819,0),""),"")</f>
        <v/>
      </c>
      <c r="H1902" t="str">
        <f t="shared" si="29"/>
        <v/>
      </c>
    </row>
    <row r="1903" spans="1:8" ht="19.95" customHeight="1">
      <c r="A1903" s="5" t="str">
        <f>IF($G1903="","",INDEX('EDS Lookup'!$D$6:$D$2819,$G1903))</f>
        <v/>
      </c>
      <c r="B1903" s="5" t="str">
        <f>IF($G1903="","",INDEX('EDS Lookup'!$B$6:$B$2819,$G1903))</f>
        <v/>
      </c>
      <c r="C1903" s="17"/>
      <c r="D1903" s="6"/>
      <c r="E1903" s="7" t="str">
        <f>IF($G1903="","",INDEX('EDS Lookup'!$F$6:$F$2819,$G1903))</f>
        <v/>
      </c>
      <c r="F1903" s="8" t="str">
        <f>IF($G1903="","",INDEX('EDS Lookup'!$G$6:$G$2819,$G1903))</f>
        <v/>
      </c>
      <c r="G1903" t="str">
        <f>IF(1880&lt;=$B$4,IFERROR(MATCH(1880,'EDS Lookup'!$H$6:$H$2819,0),""),"")</f>
        <v/>
      </c>
      <c r="H1903" t="str">
        <f t="shared" si="29"/>
        <v/>
      </c>
    </row>
    <row r="1904" spans="1:8" ht="19.95" customHeight="1">
      <c r="A1904" s="5" t="str">
        <f>IF($G1904="","",INDEX('EDS Lookup'!$D$6:$D$2819,$G1904))</f>
        <v/>
      </c>
      <c r="B1904" s="5" t="str">
        <f>IF($G1904="","",INDEX('EDS Lookup'!$B$6:$B$2819,$G1904))</f>
        <v/>
      </c>
      <c r="C1904" s="17"/>
      <c r="D1904" s="6"/>
      <c r="E1904" s="7" t="str">
        <f>IF($G1904="","",INDEX('EDS Lookup'!$F$6:$F$2819,$G1904))</f>
        <v/>
      </c>
      <c r="F1904" s="8" t="str">
        <f>IF($G1904="","",INDEX('EDS Lookup'!$G$6:$G$2819,$G1904))</f>
        <v/>
      </c>
      <c r="G1904" t="str">
        <f>IF(1881&lt;=$B$4,IFERROR(MATCH(1881,'EDS Lookup'!$H$6:$H$2819,0),""),"")</f>
        <v/>
      </c>
      <c r="H1904" t="str">
        <f t="shared" si="29"/>
        <v/>
      </c>
    </row>
    <row r="1905" spans="1:8" ht="19.95" customHeight="1">
      <c r="A1905" s="5" t="str">
        <f>IF($G1905="","",INDEX('EDS Lookup'!$D$6:$D$2819,$G1905))</f>
        <v/>
      </c>
      <c r="B1905" s="5" t="str">
        <f>IF($G1905="","",INDEX('EDS Lookup'!$B$6:$B$2819,$G1905))</f>
        <v/>
      </c>
      <c r="C1905" s="17"/>
      <c r="D1905" s="6"/>
      <c r="E1905" s="7" t="str">
        <f>IF($G1905="","",INDEX('EDS Lookup'!$F$6:$F$2819,$G1905))</f>
        <v/>
      </c>
      <c r="F1905" s="8" t="str">
        <f>IF($G1905="","",INDEX('EDS Lookup'!$G$6:$G$2819,$G1905))</f>
        <v/>
      </c>
      <c r="G1905" t="str">
        <f>IF(1882&lt;=$B$4,IFERROR(MATCH(1882,'EDS Lookup'!$H$6:$H$2819,0),""),"")</f>
        <v/>
      </c>
      <c r="H1905" t="str">
        <f t="shared" si="29"/>
        <v/>
      </c>
    </row>
    <row r="1906" spans="1:8" ht="19.95" customHeight="1">
      <c r="A1906" s="5" t="str">
        <f>IF($G1906="","",INDEX('EDS Lookup'!$D$6:$D$2819,$G1906))</f>
        <v/>
      </c>
      <c r="B1906" s="5" t="str">
        <f>IF($G1906="","",INDEX('EDS Lookup'!$B$6:$B$2819,$G1906))</f>
        <v/>
      </c>
      <c r="C1906" s="17"/>
      <c r="D1906" s="6"/>
      <c r="E1906" s="7" t="str">
        <f>IF($G1906="","",INDEX('EDS Lookup'!$F$6:$F$2819,$G1906))</f>
        <v/>
      </c>
      <c r="F1906" s="8" t="str">
        <f>IF($G1906="","",INDEX('EDS Lookup'!$G$6:$G$2819,$G1906))</f>
        <v/>
      </c>
      <c r="G1906" t="str">
        <f>IF(1883&lt;=$B$4,IFERROR(MATCH(1883,'EDS Lookup'!$H$6:$H$2819,0),""),"")</f>
        <v/>
      </c>
      <c r="H1906" t="str">
        <f t="shared" si="29"/>
        <v/>
      </c>
    </row>
    <row r="1907" spans="1:8" ht="19.95" customHeight="1">
      <c r="A1907" s="5" t="str">
        <f>IF($G1907="","",INDEX('EDS Lookup'!$D$6:$D$2819,$G1907))</f>
        <v/>
      </c>
      <c r="B1907" s="5" t="str">
        <f>IF($G1907="","",INDEX('EDS Lookup'!$B$6:$B$2819,$G1907))</f>
        <v/>
      </c>
      <c r="C1907" s="17"/>
      <c r="D1907" s="6"/>
      <c r="E1907" s="7" t="str">
        <f>IF($G1907="","",INDEX('EDS Lookup'!$F$6:$F$2819,$G1907))</f>
        <v/>
      </c>
      <c r="F1907" s="8" t="str">
        <f>IF($G1907="","",INDEX('EDS Lookup'!$G$6:$G$2819,$G1907))</f>
        <v/>
      </c>
      <c r="G1907" t="str">
        <f>IF(1884&lt;=$B$4,IFERROR(MATCH(1884,'EDS Lookup'!$H$6:$H$2819,0),""),"")</f>
        <v/>
      </c>
      <c r="H1907" t="str">
        <f t="shared" si="29"/>
        <v/>
      </c>
    </row>
    <row r="1908" spans="1:8" ht="19.95" customHeight="1">
      <c r="A1908" s="5" t="str">
        <f>IF($G1908="","",INDEX('EDS Lookup'!$D$6:$D$2819,$G1908))</f>
        <v/>
      </c>
      <c r="B1908" s="5" t="str">
        <f>IF($G1908="","",INDEX('EDS Lookup'!$B$6:$B$2819,$G1908))</f>
        <v/>
      </c>
      <c r="C1908" s="17"/>
      <c r="D1908" s="6"/>
      <c r="E1908" s="7" t="str">
        <f>IF($G1908="","",INDEX('EDS Lookup'!$F$6:$F$2819,$G1908))</f>
        <v/>
      </c>
      <c r="F1908" s="8" t="str">
        <f>IF($G1908="","",INDEX('EDS Lookup'!$G$6:$G$2819,$G1908))</f>
        <v/>
      </c>
      <c r="G1908" t="str">
        <f>IF(1885&lt;=$B$4,IFERROR(MATCH(1885,'EDS Lookup'!$H$6:$H$2819,0),""),"")</f>
        <v/>
      </c>
      <c r="H1908" t="str">
        <f t="shared" si="29"/>
        <v/>
      </c>
    </row>
    <row r="1909" spans="1:8" ht="19.95" customHeight="1">
      <c r="A1909" s="5" t="str">
        <f>IF($G1909="","",INDEX('EDS Lookup'!$D$6:$D$2819,$G1909))</f>
        <v/>
      </c>
      <c r="B1909" s="5" t="str">
        <f>IF($G1909="","",INDEX('EDS Lookup'!$B$6:$B$2819,$G1909))</f>
        <v/>
      </c>
      <c r="C1909" s="17"/>
      <c r="D1909" s="6"/>
      <c r="E1909" s="7" t="str">
        <f>IF($G1909="","",INDEX('EDS Lookup'!$F$6:$F$2819,$G1909))</f>
        <v/>
      </c>
      <c r="F1909" s="8" t="str">
        <f>IF($G1909="","",INDEX('EDS Lookup'!$G$6:$G$2819,$G1909))</f>
        <v/>
      </c>
      <c r="G1909" t="str">
        <f>IF(1886&lt;=$B$4,IFERROR(MATCH(1886,'EDS Lookup'!$H$6:$H$2819,0),""),"")</f>
        <v/>
      </c>
      <c r="H1909" t="str">
        <f t="shared" si="29"/>
        <v/>
      </c>
    </row>
    <row r="1910" spans="1:8" ht="19.95" customHeight="1">
      <c r="A1910" s="5" t="str">
        <f>IF($G1910="","",INDEX('EDS Lookup'!$D$6:$D$2819,$G1910))</f>
        <v/>
      </c>
      <c r="B1910" s="5" t="str">
        <f>IF($G1910="","",INDEX('EDS Lookup'!$B$6:$B$2819,$G1910))</f>
        <v/>
      </c>
      <c r="C1910" s="17"/>
      <c r="D1910" s="6"/>
      <c r="E1910" s="7" t="str">
        <f>IF($G1910="","",INDEX('EDS Lookup'!$F$6:$F$2819,$G1910))</f>
        <v/>
      </c>
      <c r="F1910" s="8" t="str">
        <f>IF($G1910="","",INDEX('EDS Lookup'!$G$6:$G$2819,$G1910))</f>
        <v/>
      </c>
      <c r="G1910" t="str">
        <f>IF(1887&lt;=$B$4,IFERROR(MATCH(1887,'EDS Lookup'!$H$6:$H$2819,0),""),"")</f>
        <v/>
      </c>
      <c r="H1910" t="str">
        <f t="shared" si="29"/>
        <v/>
      </c>
    </row>
    <row r="1911" spans="1:8" ht="19.95" customHeight="1">
      <c r="A1911" s="5" t="str">
        <f>IF($G1911="","",INDEX('EDS Lookup'!$D$6:$D$2819,$G1911))</f>
        <v/>
      </c>
      <c r="B1911" s="5" t="str">
        <f>IF($G1911="","",INDEX('EDS Lookup'!$B$6:$B$2819,$G1911))</f>
        <v/>
      </c>
      <c r="C1911" s="17"/>
      <c r="D1911" s="6"/>
      <c r="E1911" s="7" t="str">
        <f>IF($G1911="","",INDEX('EDS Lookup'!$F$6:$F$2819,$G1911))</f>
        <v/>
      </c>
      <c r="F1911" s="8" t="str">
        <f>IF($G1911="","",INDEX('EDS Lookup'!$G$6:$G$2819,$G1911))</f>
        <v/>
      </c>
      <c r="G1911" t="str">
        <f>IF(1888&lt;=$B$4,IFERROR(MATCH(1888,'EDS Lookup'!$H$6:$H$2819,0),""),"")</f>
        <v/>
      </c>
      <c r="H1911" t="str">
        <f t="shared" si="29"/>
        <v/>
      </c>
    </row>
    <row r="1912" spans="1:8" ht="19.95" customHeight="1">
      <c r="A1912" s="5" t="str">
        <f>IF($G1912="","",INDEX('EDS Lookup'!$D$6:$D$2819,$G1912))</f>
        <v/>
      </c>
      <c r="B1912" s="5" t="str">
        <f>IF($G1912="","",INDEX('EDS Lookup'!$B$6:$B$2819,$G1912))</f>
        <v/>
      </c>
      <c r="C1912" s="17"/>
      <c r="D1912" s="6"/>
      <c r="E1912" s="7" t="str">
        <f>IF($G1912="","",INDEX('EDS Lookup'!$F$6:$F$2819,$G1912))</f>
        <v/>
      </c>
      <c r="F1912" s="8" t="str">
        <f>IF($G1912="","",INDEX('EDS Lookup'!$G$6:$G$2819,$G1912))</f>
        <v/>
      </c>
      <c r="G1912" t="str">
        <f>IF(1889&lt;=$B$4,IFERROR(MATCH(1889,'EDS Lookup'!$H$6:$H$2819,0),""),"")</f>
        <v/>
      </c>
      <c r="H1912" t="str">
        <f t="shared" si="29"/>
        <v/>
      </c>
    </row>
    <row r="1913" spans="1:8" ht="19.95" customHeight="1">
      <c r="A1913" s="5" t="str">
        <f>IF($G1913="","",INDEX('EDS Lookup'!$D$6:$D$2819,$G1913))</f>
        <v/>
      </c>
      <c r="B1913" s="5" t="str">
        <f>IF($G1913="","",INDEX('EDS Lookup'!$B$6:$B$2819,$G1913))</f>
        <v/>
      </c>
      <c r="C1913" s="17"/>
      <c r="D1913" s="6"/>
      <c r="E1913" s="7" t="str">
        <f>IF($G1913="","",INDEX('EDS Lookup'!$F$6:$F$2819,$G1913))</f>
        <v/>
      </c>
      <c r="F1913" s="8" t="str">
        <f>IF($G1913="","",INDEX('EDS Lookup'!$G$6:$G$2819,$G1913))</f>
        <v/>
      </c>
      <c r="G1913" t="str">
        <f>IF(1890&lt;=$B$4,IFERROR(MATCH(1890,'EDS Lookup'!$H$6:$H$2819,0),""),"")</f>
        <v/>
      </c>
      <c r="H1913" t="str">
        <f t="shared" si="29"/>
        <v/>
      </c>
    </row>
    <row r="1914" spans="1:8" ht="19.95" customHeight="1">
      <c r="A1914" s="5" t="str">
        <f>IF($G1914="","",INDEX('EDS Lookup'!$D$6:$D$2819,$G1914))</f>
        <v/>
      </c>
      <c r="B1914" s="5" t="str">
        <f>IF($G1914="","",INDEX('EDS Lookup'!$B$6:$B$2819,$G1914))</f>
        <v/>
      </c>
      <c r="C1914" s="17"/>
      <c r="D1914" s="6"/>
      <c r="E1914" s="7" t="str">
        <f>IF($G1914="","",INDEX('EDS Lookup'!$F$6:$F$2819,$G1914))</f>
        <v/>
      </c>
      <c r="F1914" s="8" t="str">
        <f>IF($G1914="","",INDEX('EDS Lookup'!$G$6:$G$2819,$G1914))</f>
        <v/>
      </c>
      <c r="G1914" t="str">
        <f>IF(1891&lt;=$B$4,IFERROR(MATCH(1891,'EDS Lookup'!$H$6:$H$2819,0),""),"")</f>
        <v/>
      </c>
      <c r="H1914" t="str">
        <f t="shared" si="29"/>
        <v/>
      </c>
    </row>
    <row r="1915" spans="1:8" ht="19.95" customHeight="1">
      <c r="A1915" s="5" t="str">
        <f>IF($G1915="","",INDEX('EDS Lookup'!$D$6:$D$2819,$G1915))</f>
        <v/>
      </c>
      <c r="B1915" s="5" t="str">
        <f>IF($G1915="","",INDEX('EDS Lookup'!$B$6:$B$2819,$G1915))</f>
        <v/>
      </c>
      <c r="C1915" s="17"/>
      <c r="D1915" s="6"/>
      <c r="E1915" s="7" t="str">
        <f>IF($G1915="","",INDEX('EDS Lookup'!$F$6:$F$2819,$G1915))</f>
        <v/>
      </c>
      <c r="F1915" s="8" t="str">
        <f>IF($G1915="","",INDEX('EDS Lookup'!$G$6:$G$2819,$G1915))</f>
        <v/>
      </c>
      <c r="G1915" t="str">
        <f>IF(1892&lt;=$B$4,IFERROR(MATCH(1892,'EDS Lookup'!$H$6:$H$2819,0),""),"")</f>
        <v/>
      </c>
      <c r="H1915" t="str">
        <f t="shared" si="29"/>
        <v/>
      </c>
    </row>
    <row r="1916" spans="1:8" ht="19.95" customHeight="1">
      <c r="A1916" s="5" t="str">
        <f>IF($G1916="","",INDEX('EDS Lookup'!$D$6:$D$2819,$G1916))</f>
        <v/>
      </c>
      <c r="B1916" s="5" t="str">
        <f>IF($G1916="","",INDEX('EDS Lookup'!$B$6:$B$2819,$G1916))</f>
        <v/>
      </c>
      <c r="C1916" s="17"/>
      <c r="D1916" s="6"/>
      <c r="E1916" s="7" t="str">
        <f>IF($G1916="","",INDEX('EDS Lookup'!$F$6:$F$2819,$G1916))</f>
        <v/>
      </c>
      <c r="F1916" s="8" t="str">
        <f>IF($G1916="","",INDEX('EDS Lookup'!$G$6:$G$2819,$G1916))</f>
        <v/>
      </c>
      <c r="G1916" t="str">
        <f>IF(1893&lt;=$B$4,IFERROR(MATCH(1893,'EDS Lookup'!$H$6:$H$2819,0),""),"")</f>
        <v/>
      </c>
      <c r="H1916" t="str">
        <f t="shared" si="29"/>
        <v/>
      </c>
    </row>
    <row r="1917" spans="1:8" ht="19.95" customHeight="1">
      <c r="A1917" s="5" t="str">
        <f>IF($G1917="","",INDEX('EDS Lookup'!$D$6:$D$2819,$G1917))</f>
        <v/>
      </c>
      <c r="B1917" s="5" t="str">
        <f>IF($G1917="","",INDEX('EDS Lookup'!$B$6:$B$2819,$G1917))</f>
        <v/>
      </c>
      <c r="C1917" s="17"/>
      <c r="D1917" s="6"/>
      <c r="E1917" s="7" t="str">
        <f>IF($G1917="","",INDEX('EDS Lookup'!$F$6:$F$2819,$G1917))</f>
        <v/>
      </c>
      <c r="F1917" s="8" t="str">
        <f>IF($G1917="","",INDEX('EDS Lookup'!$G$6:$G$2819,$G1917))</f>
        <v/>
      </c>
      <c r="G1917" t="str">
        <f>IF(1894&lt;=$B$4,IFERROR(MATCH(1894,'EDS Lookup'!$H$6:$H$2819,0),""),"")</f>
        <v/>
      </c>
      <c r="H1917" t="str">
        <f t="shared" si="29"/>
        <v/>
      </c>
    </row>
    <row r="1918" spans="1:8" ht="19.95" customHeight="1">
      <c r="A1918" s="5" t="str">
        <f>IF($G1918="","",INDEX('EDS Lookup'!$D$6:$D$2819,$G1918))</f>
        <v/>
      </c>
      <c r="B1918" s="5" t="str">
        <f>IF($G1918="","",INDEX('EDS Lookup'!$B$6:$B$2819,$G1918))</f>
        <v/>
      </c>
      <c r="C1918" s="17"/>
      <c r="D1918" s="6"/>
      <c r="E1918" s="7" t="str">
        <f>IF($G1918="","",INDEX('EDS Lookup'!$F$6:$F$2819,$G1918))</f>
        <v/>
      </c>
      <c r="F1918" s="8" t="str">
        <f>IF($G1918="","",INDEX('EDS Lookup'!$G$6:$G$2819,$G1918))</f>
        <v/>
      </c>
      <c r="G1918" t="str">
        <f>IF(1895&lt;=$B$4,IFERROR(MATCH(1895,'EDS Lookup'!$H$6:$H$2819,0),""),"")</f>
        <v/>
      </c>
      <c r="H1918" t="str">
        <f t="shared" si="29"/>
        <v/>
      </c>
    </row>
    <row r="1919" spans="1:8" ht="19.95" customHeight="1">
      <c r="A1919" s="5" t="str">
        <f>IF($G1919="","",INDEX('EDS Lookup'!$D$6:$D$2819,$G1919))</f>
        <v/>
      </c>
      <c r="B1919" s="5" t="str">
        <f>IF($G1919="","",INDEX('EDS Lookup'!$B$6:$B$2819,$G1919))</f>
        <v/>
      </c>
      <c r="C1919" s="17"/>
      <c r="D1919" s="6"/>
      <c r="E1919" s="7" t="str">
        <f>IF($G1919="","",INDEX('EDS Lookup'!$F$6:$F$2819,$G1919))</f>
        <v/>
      </c>
      <c r="F1919" s="8" t="str">
        <f>IF($G1919="","",INDEX('EDS Lookup'!$G$6:$G$2819,$G1919))</f>
        <v/>
      </c>
      <c r="G1919" t="str">
        <f>IF(1896&lt;=$B$4,IFERROR(MATCH(1896,'EDS Lookup'!$H$6:$H$2819,0),""),"")</f>
        <v/>
      </c>
      <c r="H1919" t="str">
        <f t="shared" si="29"/>
        <v/>
      </c>
    </row>
    <row r="1920" spans="1:8" ht="19.95" customHeight="1">
      <c r="A1920" s="5" t="str">
        <f>IF($G1920="","",INDEX('EDS Lookup'!$D$6:$D$2819,$G1920))</f>
        <v/>
      </c>
      <c r="B1920" s="5" t="str">
        <f>IF($G1920="","",INDEX('EDS Lookup'!$B$6:$B$2819,$G1920))</f>
        <v/>
      </c>
      <c r="C1920" s="17"/>
      <c r="D1920" s="6"/>
      <c r="E1920" s="7" t="str">
        <f>IF($G1920="","",INDEX('EDS Lookup'!$F$6:$F$2819,$G1920))</f>
        <v/>
      </c>
      <c r="F1920" s="8" t="str">
        <f>IF($G1920="","",INDEX('EDS Lookup'!$G$6:$G$2819,$G1920))</f>
        <v/>
      </c>
      <c r="G1920" t="str">
        <f>IF(1897&lt;=$B$4,IFERROR(MATCH(1897,'EDS Lookup'!$H$6:$H$2819,0),""),"")</f>
        <v/>
      </c>
      <c r="H1920" t="str">
        <f t="shared" si="29"/>
        <v/>
      </c>
    </row>
    <row r="1921" spans="1:8" ht="19.95" customHeight="1">
      <c r="A1921" s="5" t="str">
        <f>IF($G1921="","",INDEX('EDS Lookup'!$D$6:$D$2819,$G1921))</f>
        <v/>
      </c>
      <c r="B1921" s="5" t="str">
        <f>IF($G1921="","",INDEX('EDS Lookup'!$B$6:$B$2819,$G1921))</f>
        <v/>
      </c>
      <c r="C1921" s="17"/>
      <c r="D1921" s="6"/>
      <c r="E1921" s="7" t="str">
        <f>IF($G1921="","",INDEX('EDS Lookup'!$F$6:$F$2819,$G1921))</f>
        <v/>
      </c>
      <c r="F1921" s="8" t="str">
        <f>IF($G1921="","",INDEX('EDS Lookup'!$G$6:$G$2819,$G1921))</f>
        <v/>
      </c>
      <c r="G1921" t="str">
        <f>IF(1898&lt;=$B$4,IFERROR(MATCH(1898,'EDS Lookup'!$H$6:$H$2819,0),""),"")</f>
        <v/>
      </c>
      <c r="H1921" t="str">
        <f t="shared" si="29"/>
        <v/>
      </c>
    </row>
    <row r="1922" spans="1:8" ht="19.95" customHeight="1">
      <c r="A1922" s="5" t="str">
        <f>IF($G1922="","",INDEX('EDS Lookup'!$D$6:$D$2819,$G1922))</f>
        <v/>
      </c>
      <c r="B1922" s="5" t="str">
        <f>IF($G1922="","",INDEX('EDS Lookup'!$B$6:$B$2819,$G1922))</f>
        <v/>
      </c>
      <c r="C1922" s="17"/>
      <c r="D1922" s="6"/>
      <c r="E1922" s="7" t="str">
        <f>IF($G1922="","",INDEX('EDS Lookup'!$F$6:$F$2819,$G1922))</f>
        <v/>
      </c>
      <c r="F1922" s="8" t="str">
        <f>IF($G1922="","",INDEX('EDS Lookup'!$G$6:$G$2819,$G1922))</f>
        <v/>
      </c>
      <c r="G1922" t="str">
        <f>IF(1899&lt;=$B$4,IFERROR(MATCH(1899,'EDS Lookup'!$H$6:$H$2819,0),""),"")</f>
        <v/>
      </c>
      <c r="H1922" t="str">
        <f t="shared" si="29"/>
        <v/>
      </c>
    </row>
    <row r="1923" spans="1:8" ht="19.95" customHeight="1">
      <c r="A1923" s="5" t="str">
        <f>IF($G1923="","",INDEX('EDS Lookup'!$D$6:$D$2819,$G1923))</f>
        <v/>
      </c>
      <c r="B1923" s="5" t="str">
        <f>IF($G1923="","",INDEX('EDS Lookup'!$B$6:$B$2819,$G1923))</f>
        <v/>
      </c>
      <c r="C1923" s="17"/>
      <c r="D1923" s="6"/>
      <c r="E1923" s="7" t="str">
        <f>IF($G1923="","",INDEX('EDS Lookup'!$F$6:$F$2819,$G1923))</f>
        <v/>
      </c>
      <c r="F1923" s="8" t="str">
        <f>IF($G1923="","",INDEX('EDS Lookup'!$G$6:$G$2819,$G1923))</f>
        <v/>
      </c>
      <c r="G1923" t="str">
        <f>IF(1900&lt;=$B$4,IFERROR(MATCH(1900,'EDS Lookup'!$H$6:$H$2819,0),""),"")</f>
        <v/>
      </c>
      <c r="H1923" t="str">
        <f t="shared" si="29"/>
        <v/>
      </c>
    </row>
    <row r="1924" spans="1:8" ht="19.95" customHeight="1">
      <c r="A1924" s="5" t="str">
        <f>IF($G1924="","",INDEX('EDS Lookup'!$D$6:$D$2819,$G1924))</f>
        <v/>
      </c>
      <c r="B1924" s="5" t="str">
        <f>IF($G1924="","",INDEX('EDS Lookup'!$B$6:$B$2819,$G1924))</f>
        <v/>
      </c>
      <c r="C1924" s="17"/>
      <c r="D1924" s="6"/>
      <c r="E1924" s="7" t="str">
        <f>IF($G1924="","",INDEX('EDS Lookup'!$F$6:$F$2819,$G1924))</f>
        <v/>
      </c>
      <c r="F1924" s="8" t="str">
        <f>IF($G1924="","",INDEX('EDS Lookup'!$G$6:$G$2819,$G1924))</f>
        <v/>
      </c>
      <c r="G1924" t="str">
        <f>IF(1901&lt;=$B$4,IFERROR(MATCH(1901,'EDS Lookup'!$H$6:$H$2819,0),""),"")</f>
        <v/>
      </c>
      <c r="H1924" t="str">
        <f t="shared" si="29"/>
        <v/>
      </c>
    </row>
    <row r="1925" spans="1:8" ht="19.95" customHeight="1">
      <c r="A1925" s="5" t="str">
        <f>IF($G1925="","",INDEX('EDS Lookup'!$D$6:$D$2819,$G1925))</f>
        <v/>
      </c>
      <c r="B1925" s="5" t="str">
        <f>IF($G1925="","",INDEX('EDS Lookup'!$B$6:$B$2819,$G1925))</f>
        <v/>
      </c>
      <c r="C1925" s="17"/>
      <c r="D1925" s="6"/>
      <c r="E1925" s="7" t="str">
        <f>IF($G1925="","",INDEX('EDS Lookup'!$F$6:$F$2819,$G1925))</f>
        <v/>
      </c>
      <c r="F1925" s="8" t="str">
        <f>IF($G1925="","",INDEX('EDS Lookup'!$G$6:$G$2819,$G1925))</f>
        <v/>
      </c>
      <c r="G1925" t="str">
        <f>IF(1902&lt;=$B$4,IFERROR(MATCH(1902,'EDS Lookup'!$H$6:$H$2819,0),""),"")</f>
        <v/>
      </c>
      <c r="H1925" t="str">
        <f t="shared" si="29"/>
        <v/>
      </c>
    </row>
    <row r="1926" spans="1:8" ht="19.95" customHeight="1">
      <c r="A1926" s="5" t="str">
        <f>IF($G1926="","",INDEX('EDS Lookup'!$D$6:$D$2819,$G1926))</f>
        <v/>
      </c>
      <c r="B1926" s="5" t="str">
        <f>IF($G1926="","",INDEX('EDS Lookup'!$B$6:$B$2819,$G1926))</f>
        <v/>
      </c>
      <c r="C1926" s="17"/>
      <c r="D1926" s="6"/>
      <c r="E1926" s="7" t="str">
        <f>IF($G1926="","",INDEX('EDS Lookup'!$F$6:$F$2819,$G1926))</f>
        <v/>
      </c>
      <c r="F1926" s="8" t="str">
        <f>IF($G1926="","",INDEX('EDS Lookup'!$G$6:$G$2819,$G1926))</f>
        <v/>
      </c>
      <c r="G1926" t="str">
        <f>IF(1903&lt;=$B$4,IFERROR(MATCH(1903,'EDS Lookup'!$H$6:$H$2819,0),""),"")</f>
        <v/>
      </c>
      <c r="H1926" t="str">
        <f t="shared" si="29"/>
        <v/>
      </c>
    </row>
    <row r="1927" spans="1:8" ht="19.95" customHeight="1">
      <c r="A1927" s="5" t="str">
        <f>IF($G1927="","",INDEX('EDS Lookup'!$D$6:$D$2819,$G1927))</f>
        <v/>
      </c>
      <c r="B1927" s="5" t="str">
        <f>IF($G1927="","",INDEX('EDS Lookup'!$B$6:$B$2819,$G1927))</f>
        <v/>
      </c>
      <c r="C1927" s="17"/>
      <c r="D1927" s="6"/>
      <c r="E1927" s="7" t="str">
        <f>IF($G1927="","",INDEX('EDS Lookup'!$F$6:$F$2819,$G1927))</f>
        <v/>
      </c>
      <c r="F1927" s="8" t="str">
        <f>IF($G1927="","",INDEX('EDS Lookup'!$G$6:$G$2819,$G1927))</f>
        <v/>
      </c>
      <c r="G1927" t="str">
        <f>IF(1904&lt;=$B$4,IFERROR(MATCH(1904,'EDS Lookup'!$H$6:$H$2819,0),""),"")</f>
        <v/>
      </c>
      <c r="H1927" t="str">
        <f t="shared" si="29"/>
        <v/>
      </c>
    </row>
    <row r="1928" spans="1:8" ht="19.95" customHeight="1">
      <c r="A1928" s="5" t="str">
        <f>IF($G1928="","",INDEX('EDS Lookup'!$D$6:$D$2819,$G1928))</f>
        <v/>
      </c>
      <c r="B1928" s="5" t="str">
        <f>IF($G1928="","",INDEX('EDS Lookup'!$B$6:$B$2819,$G1928))</f>
        <v/>
      </c>
      <c r="C1928" s="17"/>
      <c r="D1928" s="6"/>
      <c r="E1928" s="7" t="str">
        <f>IF($G1928="","",INDEX('EDS Lookup'!$F$6:$F$2819,$G1928))</f>
        <v/>
      </c>
      <c r="F1928" s="8" t="str">
        <f>IF($G1928="","",INDEX('EDS Lookup'!$G$6:$G$2819,$G1928))</f>
        <v/>
      </c>
      <c r="G1928" t="str">
        <f>IF(1905&lt;=$B$4,IFERROR(MATCH(1905,'EDS Lookup'!$H$6:$H$2819,0),""),"")</f>
        <v/>
      </c>
      <c r="H1928" t="str">
        <f t="shared" si="29"/>
        <v/>
      </c>
    </row>
    <row r="1929" spans="1:8" ht="19.95" customHeight="1">
      <c r="A1929" s="5" t="str">
        <f>IF($G1929="","",INDEX('EDS Lookup'!$D$6:$D$2819,$G1929))</f>
        <v/>
      </c>
      <c r="B1929" s="5" t="str">
        <f>IF($G1929="","",INDEX('EDS Lookup'!$B$6:$B$2819,$G1929))</f>
        <v/>
      </c>
      <c r="C1929" s="17"/>
      <c r="D1929" s="6"/>
      <c r="E1929" s="7" t="str">
        <f>IF($G1929="","",INDEX('EDS Lookup'!$F$6:$F$2819,$G1929))</f>
        <v/>
      </c>
      <c r="F1929" s="8" t="str">
        <f>IF($G1929="","",INDEX('EDS Lookup'!$G$6:$G$2819,$G1929))</f>
        <v/>
      </c>
      <c r="G1929" t="str">
        <f>IF(1906&lt;=$B$4,IFERROR(MATCH(1906,'EDS Lookup'!$H$6:$H$2819,0),""),"")</f>
        <v/>
      </c>
      <c r="H1929" t="str">
        <f t="shared" si="29"/>
        <v/>
      </c>
    </row>
    <row r="1930" spans="1:8" ht="19.95" customHeight="1">
      <c r="A1930" s="5" t="str">
        <f>IF($G1930="","",INDEX('EDS Lookup'!$D$6:$D$2819,$G1930))</f>
        <v/>
      </c>
      <c r="B1930" s="5" t="str">
        <f>IF($G1930="","",INDEX('EDS Lookup'!$B$6:$B$2819,$G1930))</f>
        <v/>
      </c>
      <c r="C1930" s="17"/>
      <c r="D1930" s="6"/>
      <c r="E1930" s="7" t="str">
        <f>IF($G1930="","",INDEX('EDS Lookup'!$F$6:$F$2819,$G1930))</f>
        <v/>
      </c>
      <c r="F1930" s="8" t="str">
        <f>IF($G1930="","",INDEX('EDS Lookup'!$G$6:$G$2819,$G1930))</f>
        <v/>
      </c>
      <c r="G1930" t="str">
        <f>IF(1907&lt;=$B$4,IFERROR(MATCH(1907,'EDS Lookup'!$H$6:$H$2819,0),""),"")</f>
        <v/>
      </c>
      <c r="H1930" t="str">
        <f t="shared" si="29"/>
        <v/>
      </c>
    </row>
    <row r="1931" spans="1:8" ht="19.95" customHeight="1">
      <c r="A1931" s="5" t="str">
        <f>IF($G1931="","",INDEX('EDS Lookup'!$D$6:$D$2819,$G1931))</f>
        <v/>
      </c>
      <c r="B1931" s="5" t="str">
        <f>IF($G1931="","",INDEX('EDS Lookup'!$B$6:$B$2819,$G1931))</f>
        <v/>
      </c>
      <c r="C1931" s="17"/>
      <c r="D1931" s="6"/>
      <c r="E1931" s="7" t="str">
        <f>IF($G1931="","",INDEX('EDS Lookup'!$F$6:$F$2819,$G1931))</f>
        <v/>
      </c>
      <c r="F1931" s="8" t="str">
        <f>IF($G1931="","",INDEX('EDS Lookup'!$G$6:$G$2819,$G1931))</f>
        <v/>
      </c>
      <c r="G1931" t="str">
        <f>IF(1908&lt;=$B$4,IFERROR(MATCH(1908,'EDS Lookup'!$H$6:$H$2819,0),""),"")</f>
        <v/>
      </c>
      <c r="H1931" t="str">
        <f t="shared" si="29"/>
        <v/>
      </c>
    </row>
    <row r="1932" spans="1:8" ht="19.95" customHeight="1">
      <c r="A1932" s="5" t="str">
        <f>IF($G1932="","",INDEX('EDS Lookup'!$D$6:$D$2819,$G1932))</f>
        <v/>
      </c>
      <c r="B1932" s="5" t="str">
        <f>IF($G1932="","",INDEX('EDS Lookup'!$B$6:$B$2819,$G1932))</f>
        <v/>
      </c>
      <c r="C1932" s="17"/>
      <c r="D1932" s="6"/>
      <c r="E1932" s="7" t="str">
        <f>IF($G1932="","",INDEX('EDS Lookup'!$F$6:$F$2819,$G1932))</f>
        <v/>
      </c>
      <c r="F1932" s="8" t="str">
        <f>IF($G1932="","",INDEX('EDS Lookup'!$G$6:$G$2819,$G1932))</f>
        <v/>
      </c>
      <c r="G1932" t="str">
        <f>IF(1909&lt;=$B$4,IFERROR(MATCH(1909,'EDS Lookup'!$H$6:$H$2819,0),""),"")</f>
        <v/>
      </c>
      <c r="H1932" t="str">
        <f t="shared" si="29"/>
        <v/>
      </c>
    </row>
    <row r="1933" spans="1:8" ht="19.95" customHeight="1">
      <c r="A1933" s="5" t="str">
        <f>IF($G1933="","",INDEX('EDS Lookup'!$D$6:$D$2819,$G1933))</f>
        <v/>
      </c>
      <c r="B1933" s="5" t="str">
        <f>IF($G1933="","",INDEX('EDS Lookup'!$B$6:$B$2819,$G1933))</f>
        <v/>
      </c>
      <c r="C1933" s="17"/>
      <c r="D1933" s="6"/>
      <c r="E1933" s="7" t="str">
        <f>IF($G1933="","",INDEX('EDS Lookup'!$F$6:$F$2819,$G1933))</f>
        <v/>
      </c>
      <c r="F1933" s="8" t="str">
        <f>IF($G1933="","",INDEX('EDS Lookup'!$G$6:$G$2819,$G1933))</f>
        <v/>
      </c>
      <c r="G1933" t="str">
        <f>IF(1910&lt;=$B$4,IFERROR(MATCH(1910,'EDS Lookup'!$H$6:$H$2819,0),""),"")</f>
        <v/>
      </c>
      <c r="H1933" t="str">
        <f t="shared" si="29"/>
        <v/>
      </c>
    </row>
    <row r="1934" spans="1:8" ht="19.95" customHeight="1">
      <c r="A1934" s="5" t="str">
        <f>IF($G1934="","",INDEX('EDS Lookup'!$D$6:$D$2819,$G1934))</f>
        <v/>
      </c>
      <c r="B1934" s="5" t="str">
        <f>IF($G1934="","",INDEX('EDS Lookup'!$B$6:$B$2819,$G1934))</f>
        <v/>
      </c>
      <c r="C1934" s="17"/>
      <c r="D1934" s="6"/>
      <c r="E1934" s="7" t="str">
        <f>IF($G1934="","",INDEX('EDS Lookup'!$F$6:$F$2819,$G1934))</f>
        <v/>
      </c>
      <c r="F1934" s="8" t="str">
        <f>IF($G1934="","",INDEX('EDS Lookup'!$G$6:$G$2819,$G1934))</f>
        <v/>
      </c>
      <c r="G1934" t="str">
        <f>IF(1911&lt;=$B$4,IFERROR(MATCH(1911,'EDS Lookup'!$H$6:$H$2819,0),""),"")</f>
        <v/>
      </c>
      <c r="H1934" t="str">
        <f t="shared" si="29"/>
        <v/>
      </c>
    </row>
    <row r="1935" spans="1:8" ht="19.95" customHeight="1">
      <c r="A1935" s="5" t="str">
        <f>IF($G1935="","",INDEX('EDS Lookup'!$D$6:$D$2819,$G1935))</f>
        <v/>
      </c>
      <c r="B1935" s="5" t="str">
        <f>IF($G1935="","",INDEX('EDS Lookup'!$B$6:$B$2819,$G1935))</f>
        <v/>
      </c>
      <c r="C1935" s="17"/>
      <c r="D1935" s="6"/>
      <c r="E1935" s="7" t="str">
        <f>IF($G1935="","",INDEX('EDS Lookup'!$F$6:$F$2819,$G1935))</f>
        <v/>
      </c>
      <c r="F1935" s="8" t="str">
        <f>IF($G1935="","",INDEX('EDS Lookup'!$G$6:$G$2819,$G1935))</f>
        <v/>
      </c>
      <c r="G1935" t="str">
        <f>IF(1912&lt;=$B$4,IFERROR(MATCH(1912,'EDS Lookup'!$H$6:$H$2819,0),""),"")</f>
        <v/>
      </c>
      <c r="H1935" t="str">
        <f t="shared" si="29"/>
        <v/>
      </c>
    </row>
    <row r="1936" spans="1:8" ht="19.95" customHeight="1">
      <c r="A1936" s="5" t="str">
        <f>IF($G1936="","",INDEX('EDS Lookup'!$D$6:$D$2819,$G1936))</f>
        <v/>
      </c>
      <c r="B1936" s="5" t="str">
        <f>IF($G1936="","",INDEX('EDS Lookup'!$B$6:$B$2819,$G1936))</f>
        <v/>
      </c>
      <c r="C1936" s="17"/>
      <c r="D1936" s="6"/>
      <c r="E1936" s="7" t="str">
        <f>IF($G1936="","",INDEX('EDS Lookup'!$F$6:$F$2819,$G1936))</f>
        <v/>
      </c>
      <c r="F1936" s="8" t="str">
        <f>IF($G1936="","",INDEX('EDS Lookup'!$G$6:$G$2819,$G1936))</f>
        <v/>
      </c>
      <c r="G1936" t="str">
        <f>IF(1913&lt;=$B$4,IFERROR(MATCH(1913,'EDS Lookup'!$H$6:$H$2819,0),""),"")</f>
        <v/>
      </c>
      <c r="H1936" t="str">
        <f t="shared" si="29"/>
        <v/>
      </c>
    </row>
    <row r="1937" spans="1:8" ht="19.95" customHeight="1">
      <c r="A1937" s="5" t="str">
        <f>IF($G1937="","",INDEX('EDS Lookup'!$D$6:$D$2819,$G1937))</f>
        <v/>
      </c>
      <c r="B1937" s="5" t="str">
        <f>IF($G1937="","",INDEX('EDS Lookup'!$B$6:$B$2819,$G1937))</f>
        <v/>
      </c>
      <c r="C1937" s="17"/>
      <c r="D1937" s="6"/>
      <c r="E1937" s="7" t="str">
        <f>IF($G1937="","",INDEX('EDS Lookup'!$F$6:$F$2819,$G1937))</f>
        <v/>
      </c>
      <c r="F1937" s="8" t="str">
        <f>IF($G1937="","",INDEX('EDS Lookup'!$G$6:$G$2819,$G1937))</f>
        <v/>
      </c>
      <c r="G1937" t="str">
        <f>IF(1914&lt;=$B$4,IFERROR(MATCH(1914,'EDS Lookup'!$H$6:$H$2819,0),""),"")</f>
        <v/>
      </c>
      <c r="H1937" t="str">
        <f t="shared" si="29"/>
        <v/>
      </c>
    </row>
    <row r="1938" spans="1:8" ht="19.95" customHeight="1">
      <c r="A1938" s="5" t="str">
        <f>IF($G1938="","",INDEX('EDS Lookup'!$D$6:$D$2819,$G1938))</f>
        <v/>
      </c>
      <c r="B1938" s="5" t="str">
        <f>IF($G1938="","",INDEX('EDS Lookup'!$B$6:$B$2819,$G1938))</f>
        <v/>
      </c>
      <c r="C1938" s="17"/>
      <c r="D1938" s="6"/>
      <c r="E1938" s="7" t="str">
        <f>IF($G1938="","",INDEX('EDS Lookup'!$F$6:$F$2819,$G1938))</f>
        <v/>
      </c>
      <c r="F1938" s="8" t="str">
        <f>IF($G1938="","",INDEX('EDS Lookup'!$G$6:$G$2819,$G1938))</f>
        <v/>
      </c>
      <c r="G1938" t="str">
        <f>IF(1915&lt;=$B$4,IFERROR(MATCH(1915,'EDS Lookup'!$H$6:$H$2819,0),""),"")</f>
        <v/>
      </c>
      <c r="H1938" t="str">
        <f t="shared" si="29"/>
        <v/>
      </c>
    </row>
    <row r="1939" spans="1:8" ht="19.95" customHeight="1">
      <c r="A1939" s="5" t="str">
        <f>IF($G1939="","",INDEX('EDS Lookup'!$D$6:$D$2819,$G1939))</f>
        <v/>
      </c>
      <c r="B1939" s="5" t="str">
        <f>IF($G1939="","",INDEX('EDS Lookup'!$B$6:$B$2819,$G1939))</f>
        <v/>
      </c>
      <c r="C1939" s="17"/>
      <c r="D1939" s="6"/>
      <c r="E1939" s="7" t="str">
        <f>IF($G1939="","",INDEX('EDS Lookup'!$F$6:$F$2819,$G1939))</f>
        <v/>
      </c>
      <c r="F1939" s="8" t="str">
        <f>IF($G1939="","",INDEX('EDS Lookup'!$G$6:$G$2819,$G1939))</f>
        <v/>
      </c>
      <c r="G1939" t="str">
        <f>IF(1916&lt;=$B$4,IFERROR(MATCH(1916,'EDS Lookup'!$H$6:$H$2819,0),""),"")</f>
        <v/>
      </c>
      <c r="H1939" t="str">
        <f t="shared" si="29"/>
        <v/>
      </c>
    </row>
    <row r="1940" spans="1:8" ht="19.95" customHeight="1">
      <c r="A1940" s="5" t="str">
        <f>IF($G1940="","",INDEX('EDS Lookup'!$D$6:$D$2819,$G1940))</f>
        <v/>
      </c>
      <c r="B1940" s="5" t="str">
        <f>IF($G1940="","",INDEX('EDS Lookup'!$B$6:$B$2819,$G1940))</f>
        <v/>
      </c>
      <c r="C1940" s="17"/>
      <c r="D1940" s="6"/>
      <c r="E1940" s="7" t="str">
        <f>IF($G1940="","",INDEX('EDS Lookup'!$F$6:$F$2819,$G1940))</f>
        <v/>
      </c>
      <c r="F1940" s="8" t="str">
        <f>IF($G1940="","",INDEX('EDS Lookup'!$G$6:$G$2819,$G1940))</f>
        <v/>
      </c>
      <c r="G1940" t="str">
        <f>IF(1917&lt;=$B$4,IFERROR(MATCH(1917,'EDS Lookup'!$H$6:$H$2819,0),""),"")</f>
        <v/>
      </c>
      <c r="H1940" t="str">
        <f t="shared" si="29"/>
        <v/>
      </c>
    </row>
    <row r="1941" spans="1:8" ht="19.95" customHeight="1">
      <c r="A1941" s="5" t="str">
        <f>IF($G1941="","",INDEX('EDS Lookup'!$D$6:$D$2819,$G1941))</f>
        <v/>
      </c>
      <c r="B1941" s="5" t="str">
        <f>IF($G1941="","",INDEX('EDS Lookup'!$B$6:$B$2819,$G1941))</f>
        <v/>
      </c>
      <c r="C1941" s="17"/>
      <c r="D1941" s="6"/>
      <c r="E1941" s="7" t="str">
        <f>IF($G1941="","",INDEX('EDS Lookup'!$F$6:$F$2819,$G1941))</f>
        <v/>
      </c>
      <c r="F1941" s="8" t="str">
        <f>IF($G1941="","",INDEX('EDS Lookup'!$G$6:$G$2819,$G1941))</f>
        <v/>
      </c>
      <c r="G1941" t="str">
        <f>IF(1918&lt;=$B$4,IFERROR(MATCH(1918,'EDS Lookup'!$H$6:$H$2819,0),""),"")</f>
        <v/>
      </c>
      <c r="H1941" t="str">
        <f t="shared" si="29"/>
        <v/>
      </c>
    </row>
    <row r="1942" spans="1:8" ht="19.95" customHeight="1">
      <c r="A1942" s="5" t="str">
        <f>IF($G1942="","",INDEX('EDS Lookup'!$D$6:$D$2819,$G1942))</f>
        <v/>
      </c>
      <c r="B1942" s="5" t="str">
        <f>IF($G1942="","",INDEX('EDS Lookup'!$B$6:$B$2819,$G1942))</f>
        <v/>
      </c>
      <c r="C1942" s="17"/>
      <c r="D1942" s="6"/>
      <c r="E1942" s="7" t="str">
        <f>IF($G1942="","",INDEX('EDS Lookup'!$F$6:$F$2819,$G1942))</f>
        <v/>
      </c>
      <c r="F1942" s="8" t="str">
        <f>IF($G1942="","",INDEX('EDS Lookup'!$G$6:$G$2819,$G1942))</f>
        <v/>
      </c>
      <c r="G1942" t="str">
        <f>IF(1919&lt;=$B$4,IFERROR(MATCH(1919,'EDS Lookup'!$H$6:$H$2819,0),""),"")</f>
        <v/>
      </c>
      <c r="H1942" t="str">
        <f t="shared" si="29"/>
        <v/>
      </c>
    </row>
    <row r="1943" spans="1:8" ht="19.95" customHeight="1">
      <c r="A1943" s="5" t="str">
        <f>IF($G1943="","",INDEX('EDS Lookup'!$D$6:$D$2819,$G1943))</f>
        <v/>
      </c>
      <c r="B1943" s="5" t="str">
        <f>IF($G1943="","",INDEX('EDS Lookup'!$B$6:$B$2819,$G1943))</f>
        <v/>
      </c>
      <c r="C1943" s="17"/>
      <c r="D1943" s="6"/>
      <c r="E1943" s="7" t="str">
        <f>IF($G1943="","",INDEX('EDS Lookup'!$F$6:$F$2819,$G1943))</f>
        <v/>
      </c>
      <c r="F1943" s="8" t="str">
        <f>IF($G1943="","",INDEX('EDS Lookup'!$G$6:$G$2819,$G1943))</f>
        <v/>
      </c>
      <c r="G1943" t="str">
        <f>IF(1920&lt;=$B$4,IFERROR(MATCH(1920,'EDS Lookup'!$H$6:$H$2819,0),""),"")</f>
        <v/>
      </c>
      <c r="H1943" t="str">
        <f t="shared" si="29"/>
        <v/>
      </c>
    </row>
    <row r="1944" spans="1:8" ht="19.95" customHeight="1">
      <c r="A1944" s="5" t="str">
        <f>IF($G1944="","",INDEX('EDS Lookup'!$D$6:$D$2819,$G1944))</f>
        <v/>
      </c>
      <c r="B1944" s="5" t="str">
        <f>IF($G1944="","",INDEX('EDS Lookup'!$B$6:$B$2819,$G1944))</f>
        <v/>
      </c>
      <c r="C1944" s="17"/>
      <c r="D1944" s="6"/>
      <c r="E1944" s="7" t="str">
        <f>IF($G1944="","",INDEX('EDS Lookup'!$F$6:$F$2819,$G1944))</f>
        <v/>
      </c>
      <c r="F1944" s="8" t="str">
        <f>IF($G1944="","",INDEX('EDS Lookup'!$G$6:$G$2819,$G1944))</f>
        <v/>
      </c>
      <c r="G1944" t="str">
        <f>IF(1921&lt;=$B$4,IFERROR(MATCH(1921,'EDS Lookup'!$H$6:$H$2819,0),""),"")</f>
        <v/>
      </c>
      <c r="H1944" t="str">
        <f t="shared" ref="H1944:H2007" si="30">IF(F1944="&lt;5",5,IF(F1944="&gt;95",95,IF(ISNUMBER(F1944),F1944,"")))</f>
        <v/>
      </c>
    </row>
    <row r="1945" spans="1:8" ht="19.95" customHeight="1">
      <c r="A1945" s="5" t="str">
        <f>IF($G1945="","",INDEX('EDS Lookup'!$D$6:$D$2819,$G1945))</f>
        <v/>
      </c>
      <c r="B1945" s="5" t="str">
        <f>IF($G1945="","",INDEX('EDS Lookup'!$B$6:$B$2819,$G1945))</f>
        <v/>
      </c>
      <c r="C1945" s="17"/>
      <c r="D1945" s="6"/>
      <c r="E1945" s="7" t="str">
        <f>IF($G1945="","",INDEX('EDS Lookup'!$F$6:$F$2819,$G1945))</f>
        <v/>
      </c>
      <c r="F1945" s="8" t="str">
        <f>IF($G1945="","",INDEX('EDS Lookup'!$G$6:$G$2819,$G1945))</f>
        <v/>
      </c>
      <c r="G1945" t="str">
        <f>IF(1922&lt;=$B$4,IFERROR(MATCH(1922,'EDS Lookup'!$H$6:$H$2819,0),""),"")</f>
        <v/>
      </c>
      <c r="H1945" t="str">
        <f t="shared" si="30"/>
        <v/>
      </c>
    </row>
    <row r="1946" spans="1:8" ht="19.95" customHeight="1">
      <c r="A1946" s="5" t="str">
        <f>IF($G1946="","",INDEX('EDS Lookup'!$D$6:$D$2819,$G1946))</f>
        <v/>
      </c>
      <c r="B1946" s="5" t="str">
        <f>IF($G1946="","",INDEX('EDS Lookup'!$B$6:$B$2819,$G1946))</f>
        <v/>
      </c>
      <c r="C1946" s="17"/>
      <c r="D1946" s="6"/>
      <c r="E1946" s="7" t="str">
        <f>IF($G1946="","",INDEX('EDS Lookup'!$F$6:$F$2819,$G1946))</f>
        <v/>
      </c>
      <c r="F1946" s="8" t="str">
        <f>IF($G1946="","",INDEX('EDS Lookup'!$G$6:$G$2819,$G1946))</f>
        <v/>
      </c>
      <c r="G1946" t="str">
        <f>IF(1923&lt;=$B$4,IFERROR(MATCH(1923,'EDS Lookup'!$H$6:$H$2819,0),""),"")</f>
        <v/>
      </c>
      <c r="H1946" t="str">
        <f t="shared" si="30"/>
        <v/>
      </c>
    </row>
    <row r="1947" spans="1:8" ht="19.95" customHeight="1">
      <c r="A1947" s="5" t="str">
        <f>IF($G1947="","",INDEX('EDS Lookup'!$D$6:$D$2819,$G1947))</f>
        <v/>
      </c>
      <c r="B1947" s="5" t="str">
        <f>IF($G1947="","",INDEX('EDS Lookup'!$B$6:$B$2819,$G1947))</f>
        <v/>
      </c>
      <c r="C1947" s="17"/>
      <c r="D1947" s="6"/>
      <c r="E1947" s="7" t="str">
        <f>IF($G1947="","",INDEX('EDS Lookup'!$F$6:$F$2819,$G1947))</f>
        <v/>
      </c>
      <c r="F1947" s="8" t="str">
        <f>IF($G1947="","",INDEX('EDS Lookup'!$G$6:$G$2819,$G1947))</f>
        <v/>
      </c>
      <c r="G1947" t="str">
        <f>IF(1924&lt;=$B$4,IFERROR(MATCH(1924,'EDS Lookup'!$H$6:$H$2819,0),""),"")</f>
        <v/>
      </c>
      <c r="H1947" t="str">
        <f t="shared" si="30"/>
        <v/>
      </c>
    </row>
    <row r="1948" spans="1:8" ht="19.95" customHeight="1">
      <c r="A1948" s="5" t="str">
        <f>IF($G1948="","",INDEX('EDS Lookup'!$D$6:$D$2819,$G1948))</f>
        <v/>
      </c>
      <c r="B1948" s="5" t="str">
        <f>IF($G1948="","",INDEX('EDS Lookup'!$B$6:$B$2819,$G1948))</f>
        <v/>
      </c>
      <c r="C1948" s="17"/>
      <c r="D1948" s="6"/>
      <c r="E1948" s="7" t="str">
        <f>IF($G1948="","",INDEX('EDS Lookup'!$F$6:$F$2819,$G1948))</f>
        <v/>
      </c>
      <c r="F1948" s="8" t="str">
        <f>IF($G1948="","",INDEX('EDS Lookup'!$G$6:$G$2819,$G1948))</f>
        <v/>
      </c>
      <c r="G1948" t="str">
        <f>IF(1925&lt;=$B$4,IFERROR(MATCH(1925,'EDS Lookup'!$H$6:$H$2819,0),""),"")</f>
        <v/>
      </c>
      <c r="H1948" t="str">
        <f t="shared" si="30"/>
        <v/>
      </c>
    </row>
    <row r="1949" spans="1:8" ht="19.95" customHeight="1">
      <c r="A1949" s="5" t="str">
        <f>IF($G1949="","",INDEX('EDS Lookup'!$D$6:$D$2819,$G1949))</f>
        <v/>
      </c>
      <c r="B1949" s="5" t="str">
        <f>IF($G1949="","",INDEX('EDS Lookup'!$B$6:$B$2819,$G1949))</f>
        <v/>
      </c>
      <c r="C1949" s="17"/>
      <c r="D1949" s="6"/>
      <c r="E1949" s="7" t="str">
        <f>IF($G1949="","",INDEX('EDS Lookup'!$F$6:$F$2819,$G1949))</f>
        <v/>
      </c>
      <c r="F1949" s="8" t="str">
        <f>IF($G1949="","",INDEX('EDS Lookup'!$G$6:$G$2819,$G1949))</f>
        <v/>
      </c>
      <c r="G1949" t="str">
        <f>IF(1926&lt;=$B$4,IFERROR(MATCH(1926,'EDS Lookup'!$H$6:$H$2819,0),""),"")</f>
        <v/>
      </c>
      <c r="H1949" t="str">
        <f t="shared" si="30"/>
        <v/>
      </c>
    </row>
    <row r="1950" spans="1:8" ht="19.95" customHeight="1">
      <c r="A1950" s="5" t="str">
        <f>IF($G1950="","",INDEX('EDS Lookup'!$D$6:$D$2819,$G1950))</f>
        <v/>
      </c>
      <c r="B1950" s="5" t="str">
        <f>IF($G1950="","",INDEX('EDS Lookup'!$B$6:$B$2819,$G1950))</f>
        <v/>
      </c>
      <c r="C1950" s="17"/>
      <c r="D1950" s="6"/>
      <c r="E1950" s="7" t="str">
        <f>IF($G1950="","",INDEX('EDS Lookup'!$F$6:$F$2819,$G1950))</f>
        <v/>
      </c>
      <c r="F1950" s="8" t="str">
        <f>IF($G1950="","",INDEX('EDS Lookup'!$G$6:$G$2819,$G1950))</f>
        <v/>
      </c>
      <c r="G1950" t="str">
        <f>IF(1927&lt;=$B$4,IFERROR(MATCH(1927,'EDS Lookup'!$H$6:$H$2819,0),""),"")</f>
        <v/>
      </c>
      <c r="H1950" t="str">
        <f t="shared" si="30"/>
        <v/>
      </c>
    </row>
    <row r="1951" spans="1:8" ht="19.95" customHeight="1">
      <c r="A1951" s="5" t="str">
        <f>IF($G1951="","",INDEX('EDS Lookup'!$D$6:$D$2819,$G1951))</f>
        <v/>
      </c>
      <c r="B1951" s="5" t="str">
        <f>IF($G1951="","",INDEX('EDS Lookup'!$B$6:$B$2819,$G1951))</f>
        <v/>
      </c>
      <c r="C1951" s="17"/>
      <c r="D1951" s="6"/>
      <c r="E1951" s="7" t="str">
        <f>IF($G1951="","",INDEX('EDS Lookup'!$F$6:$F$2819,$G1951))</f>
        <v/>
      </c>
      <c r="F1951" s="8" t="str">
        <f>IF($G1951="","",INDEX('EDS Lookup'!$G$6:$G$2819,$G1951))</f>
        <v/>
      </c>
      <c r="G1951" t="str">
        <f>IF(1928&lt;=$B$4,IFERROR(MATCH(1928,'EDS Lookup'!$H$6:$H$2819,0),""),"")</f>
        <v/>
      </c>
      <c r="H1951" t="str">
        <f t="shared" si="30"/>
        <v/>
      </c>
    </row>
    <row r="1952" spans="1:8" ht="19.95" customHeight="1">
      <c r="A1952" s="5" t="str">
        <f>IF($G1952="","",INDEX('EDS Lookup'!$D$6:$D$2819,$G1952))</f>
        <v/>
      </c>
      <c r="B1952" s="5" t="str">
        <f>IF($G1952="","",INDEX('EDS Lookup'!$B$6:$B$2819,$G1952))</f>
        <v/>
      </c>
      <c r="C1952" s="17"/>
      <c r="D1952" s="6"/>
      <c r="E1952" s="7" t="str">
        <f>IF($G1952="","",INDEX('EDS Lookup'!$F$6:$F$2819,$G1952))</f>
        <v/>
      </c>
      <c r="F1952" s="8" t="str">
        <f>IF($G1952="","",INDEX('EDS Lookup'!$G$6:$G$2819,$G1952))</f>
        <v/>
      </c>
      <c r="G1952" t="str">
        <f>IF(1929&lt;=$B$4,IFERROR(MATCH(1929,'EDS Lookup'!$H$6:$H$2819,0),""),"")</f>
        <v/>
      </c>
      <c r="H1952" t="str">
        <f t="shared" si="30"/>
        <v/>
      </c>
    </row>
    <row r="1953" spans="1:8" ht="19.95" customHeight="1">
      <c r="A1953" s="5" t="str">
        <f>IF($G1953="","",INDEX('EDS Lookup'!$D$6:$D$2819,$G1953))</f>
        <v/>
      </c>
      <c r="B1953" s="5" t="str">
        <f>IF($G1953="","",INDEX('EDS Lookup'!$B$6:$B$2819,$G1953))</f>
        <v/>
      </c>
      <c r="C1953" s="17"/>
      <c r="D1953" s="6"/>
      <c r="E1953" s="7" t="str">
        <f>IF($G1953="","",INDEX('EDS Lookup'!$F$6:$F$2819,$G1953))</f>
        <v/>
      </c>
      <c r="F1953" s="8" t="str">
        <f>IF($G1953="","",INDEX('EDS Lookup'!$G$6:$G$2819,$G1953))</f>
        <v/>
      </c>
      <c r="G1953" t="str">
        <f>IF(1930&lt;=$B$4,IFERROR(MATCH(1930,'EDS Lookup'!$H$6:$H$2819,0),""),"")</f>
        <v/>
      </c>
      <c r="H1953" t="str">
        <f t="shared" si="30"/>
        <v/>
      </c>
    </row>
    <row r="1954" spans="1:8" ht="19.95" customHeight="1">
      <c r="A1954" s="5" t="str">
        <f>IF($G1954="","",INDEX('EDS Lookup'!$D$6:$D$2819,$G1954))</f>
        <v/>
      </c>
      <c r="B1954" s="5" t="str">
        <f>IF($G1954="","",INDEX('EDS Lookup'!$B$6:$B$2819,$G1954))</f>
        <v/>
      </c>
      <c r="C1954" s="17"/>
      <c r="D1954" s="6"/>
      <c r="E1954" s="7" t="str">
        <f>IF($G1954="","",INDEX('EDS Lookup'!$F$6:$F$2819,$G1954))</f>
        <v/>
      </c>
      <c r="F1954" s="8" t="str">
        <f>IF($G1954="","",INDEX('EDS Lookup'!$G$6:$G$2819,$G1954))</f>
        <v/>
      </c>
      <c r="G1954" t="str">
        <f>IF(1931&lt;=$B$4,IFERROR(MATCH(1931,'EDS Lookup'!$H$6:$H$2819,0),""),"")</f>
        <v/>
      </c>
      <c r="H1954" t="str">
        <f t="shared" si="30"/>
        <v/>
      </c>
    </row>
    <row r="1955" spans="1:8" ht="19.95" customHeight="1">
      <c r="A1955" s="5" t="str">
        <f>IF($G1955="","",INDEX('EDS Lookup'!$D$6:$D$2819,$G1955))</f>
        <v/>
      </c>
      <c r="B1955" s="5" t="str">
        <f>IF($G1955="","",INDEX('EDS Lookup'!$B$6:$B$2819,$G1955))</f>
        <v/>
      </c>
      <c r="C1955" s="17"/>
      <c r="D1955" s="6"/>
      <c r="E1955" s="7" t="str">
        <f>IF($G1955="","",INDEX('EDS Lookup'!$F$6:$F$2819,$G1955))</f>
        <v/>
      </c>
      <c r="F1955" s="8" t="str">
        <f>IF($G1955="","",INDEX('EDS Lookup'!$G$6:$G$2819,$G1955))</f>
        <v/>
      </c>
      <c r="G1955" t="str">
        <f>IF(1932&lt;=$B$4,IFERROR(MATCH(1932,'EDS Lookup'!$H$6:$H$2819,0),""),"")</f>
        <v/>
      </c>
      <c r="H1955" t="str">
        <f t="shared" si="30"/>
        <v/>
      </c>
    </row>
    <row r="1956" spans="1:8" ht="19.95" customHeight="1">
      <c r="A1956" s="5" t="str">
        <f>IF($G1956="","",INDEX('EDS Lookup'!$D$6:$D$2819,$G1956))</f>
        <v/>
      </c>
      <c r="B1956" s="5" t="str">
        <f>IF($G1956="","",INDEX('EDS Lookup'!$B$6:$B$2819,$G1956))</f>
        <v/>
      </c>
      <c r="C1956" s="17"/>
      <c r="D1956" s="6"/>
      <c r="E1956" s="7" t="str">
        <f>IF($G1956="","",INDEX('EDS Lookup'!$F$6:$F$2819,$G1956))</f>
        <v/>
      </c>
      <c r="F1956" s="8" t="str">
        <f>IF($G1956="","",INDEX('EDS Lookup'!$G$6:$G$2819,$G1956))</f>
        <v/>
      </c>
      <c r="G1956" t="str">
        <f>IF(1933&lt;=$B$4,IFERROR(MATCH(1933,'EDS Lookup'!$H$6:$H$2819,0),""),"")</f>
        <v/>
      </c>
      <c r="H1956" t="str">
        <f t="shared" si="30"/>
        <v/>
      </c>
    </row>
    <row r="1957" spans="1:8" ht="19.95" customHeight="1">
      <c r="A1957" s="5" t="str">
        <f>IF($G1957="","",INDEX('EDS Lookup'!$D$6:$D$2819,$G1957))</f>
        <v/>
      </c>
      <c r="B1957" s="5" t="str">
        <f>IF($G1957="","",INDEX('EDS Lookup'!$B$6:$B$2819,$G1957))</f>
        <v/>
      </c>
      <c r="C1957" s="17"/>
      <c r="D1957" s="6"/>
      <c r="E1957" s="7" t="str">
        <f>IF($G1957="","",INDEX('EDS Lookup'!$F$6:$F$2819,$G1957))</f>
        <v/>
      </c>
      <c r="F1957" s="8" t="str">
        <f>IF($G1957="","",INDEX('EDS Lookup'!$G$6:$G$2819,$G1957))</f>
        <v/>
      </c>
      <c r="G1957" t="str">
        <f>IF(1934&lt;=$B$4,IFERROR(MATCH(1934,'EDS Lookup'!$H$6:$H$2819,0),""),"")</f>
        <v/>
      </c>
      <c r="H1957" t="str">
        <f t="shared" si="30"/>
        <v/>
      </c>
    </row>
    <row r="1958" spans="1:8" ht="19.95" customHeight="1">
      <c r="A1958" s="5" t="str">
        <f>IF($G1958="","",INDEX('EDS Lookup'!$D$6:$D$2819,$G1958))</f>
        <v/>
      </c>
      <c r="B1958" s="5" t="str">
        <f>IF($G1958="","",INDEX('EDS Lookup'!$B$6:$B$2819,$G1958))</f>
        <v/>
      </c>
      <c r="C1958" s="17"/>
      <c r="D1958" s="6"/>
      <c r="E1958" s="7" t="str">
        <f>IF($G1958="","",INDEX('EDS Lookup'!$F$6:$F$2819,$G1958))</f>
        <v/>
      </c>
      <c r="F1958" s="8" t="str">
        <f>IF($G1958="","",INDEX('EDS Lookup'!$G$6:$G$2819,$G1958))</f>
        <v/>
      </c>
      <c r="G1958" t="str">
        <f>IF(1935&lt;=$B$4,IFERROR(MATCH(1935,'EDS Lookup'!$H$6:$H$2819,0),""),"")</f>
        <v/>
      </c>
      <c r="H1958" t="str">
        <f t="shared" si="30"/>
        <v/>
      </c>
    </row>
    <row r="1959" spans="1:8" ht="19.95" customHeight="1">
      <c r="A1959" s="5" t="str">
        <f>IF($G1959="","",INDEX('EDS Lookup'!$D$6:$D$2819,$G1959))</f>
        <v/>
      </c>
      <c r="B1959" s="5" t="str">
        <f>IF($G1959="","",INDEX('EDS Lookup'!$B$6:$B$2819,$G1959))</f>
        <v/>
      </c>
      <c r="C1959" s="17"/>
      <c r="D1959" s="6"/>
      <c r="E1959" s="7" t="str">
        <f>IF($G1959="","",INDEX('EDS Lookup'!$F$6:$F$2819,$G1959))</f>
        <v/>
      </c>
      <c r="F1959" s="8" t="str">
        <f>IF($G1959="","",INDEX('EDS Lookup'!$G$6:$G$2819,$G1959))</f>
        <v/>
      </c>
      <c r="G1959" t="str">
        <f>IF(1936&lt;=$B$4,IFERROR(MATCH(1936,'EDS Lookup'!$H$6:$H$2819,0),""),"")</f>
        <v/>
      </c>
      <c r="H1959" t="str">
        <f t="shared" si="30"/>
        <v/>
      </c>
    </row>
    <row r="1960" spans="1:8" ht="19.95" customHeight="1">
      <c r="A1960" s="5" t="str">
        <f>IF($G1960="","",INDEX('EDS Lookup'!$D$6:$D$2819,$G1960))</f>
        <v/>
      </c>
      <c r="B1960" s="5" t="str">
        <f>IF($G1960="","",INDEX('EDS Lookup'!$B$6:$B$2819,$G1960))</f>
        <v/>
      </c>
      <c r="C1960" s="17"/>
      <c r="D1960" s="6"/>
      <c r="E1960" s="7" t="str">
        <f>IF($G1960="","",INDEX('EDS Lookup'!$F$6:$F$2819,$G1960))</f>
        <v/>
      </c>
      <c r="F1960" s="8" t="str">
        <f>IF($G1960="","",INDEX('EDS Lookup'!$G$6:$G$2819,$G1960))</f>
        <v/>
      </c>
      <c r="G1960" t="str">
        <f>IF(1937&lt;=$B$4,IFERROR(MATCH(1937,'EDS Lookup'!$H$6:$H$2819,0),""),"")</f>
        <v/>
      </c>
      <c r="H1960" t="str">
        <f t="shared" si="30"/>
        <v/>
      </c>
    </row>
    <row r="1961" spans="1:8" ht="19.95" customHeight="1">
      <c r="A1961" s="5" t="str">
        <f>IF($G1961="","",INDEX('EDS Lookup'!$D$6:$D$2819,$G1961))</f>
        <v/>
      </c>
      <c r="B1961" s="5" t="str">
        <f>IF($G1961="","",INDEX('EDS Lookup'!$B$6:$B$2819,$G1961))</f>
        <v/>
      </c>
      <c r="C1961" s="17"/>
      <c r="D1961" s="6"/>
      <c r="E1961" s="7" t="str">
        <f>IF($G1961="","",INDEX('EDS Lookup'!$F$6:$F$2819,$G1961))</f>
        <v/>
      </c>
      <c r="F1961" s="8" t="str">
        <f>IF($G1961="","",INDEX('EDS Lookup'!$G$6:$G$2819,$G1961))</f>
        <v/>
      </c>
      <c r="G1961" t="str">
        <f>IF(1938&lt;=$B$4,IFERROR(MATCH(1938,'EDS Lookup'!$H$6:$H$2819,0),""),"")</f>
        <v/>
      </c>
      <c r="H1961" t="str">
        <f t="shared" si="30"/>
        <v/>
      </c>
    </row>
    <row r="1962" spans="1:8" ht="19.95" customHeight="1">
      <c r="A1962" s="5" t="str">
        <f>IF($G1962="","",INDEX('EDS Lookup'!$D$6:$D$2819,$G1962))</f>
        <v/>
      </c>
      <c r="B1962" s="5" t="str">
        <f>IF($G1962="","",INDEX('EDS Lookup'!$B$6:$B$2819,$G1962))</f>
        <v/>
      </c>
      <c r="C1962" s="17"/>
      <c r="D1962" s="6"/>
      <c r="E1962" s="7" t="str">
        <f>IF($G1962="","",INDEX('EDS Lookup'!$F$6:$F$2819,$G1962))</f>
        <v/>
      </c>
      <c r="F1962" s="8" t="str">
        <f>IF($G1962="","",INDEX('EDS Lookup'!$G$6:$G$2819,$G1962))</f>
        <v/>
      </c>
      <c r="G1962" t="str">
        <f>IF(1939&lt;=$B$4,IFERROR(MATCH(1939,'EDS Lookup'!$H$6:$H$2819,0),""),"")</f>
        <v/>
      </c>
      <c r="H1962" t="str">
        <f t="shared" si="30"/>
        <v/>
      </c>
    </row>
    <row r="1963" spans="1:8" ht="19.95" customHeight="1">
      <c r="A1963" s="5" t="str">
        <f>IF($G1963="","",INDEX('EDS Lookup'!$D$6:$D$2819,$G1963))</f>
        <v/>
      </c>
      <c r="B1963" s="5" t="str">
        <f>IF($G1963="","",INDEX('EDS Lookup'!$B$6:$B$2819,$G1963))</f>
        <v/>
      </c>
      <c r="C1963" s="17"/>
      <c r="D1963" s="6"/>
      <c r="E1963" s="7" t="str">
        <f>IF($G1963="","",INDEX('EDS Lookup'!$F$6:$F$2819,$G1963))</f>
        <v/>
      </c>
      <c r="F1963" s="8" t="str">
        <f>IF($G1963="","",INDEX('EDS Lookup'!$G$6:$G$2819,$G1963))</f>
        <v/>
      </c>
      <c r="G1963" t="str">
        <f>IF(1940&lt;=$B$4,IFERROR(MATCH(1940,'EDS Lookup'!$H$6:$H$2819,0),""),"")</f>
        <v/>
      </c>
      <c r="H1963" t="str">
        <f t="shared" si="30"/>
        <v/>
      </c>
    </row>
    <row r="1964" spans="1:8" ht="19.95" customHeight="1">
      <c r="A1964" s="5" t="str">
        <f>IF($G1964="","",INDEX('EDS Lookup'!$D$6:$D$2819,$G1964))</f>
        <v/>
      </c>
      <c r="B1964" s="5" t="str">
        <f>IF($G1964="","",INDEX('EDS Lookup'!$B$6:$B$2819,$G1964))</f>
        <v/>
      </c>
      <c r="C1964" s="17"/>
      <c r="D1964" s="6"/>
      <c r="E1964" s="7" t="str">
        <f>IF($G1964="","",INDEX('EDS Lookup'!$F$6:$F$2819,$G1964))</f>
        <v/>
      </c>
      <c r="F1964" s="8" t="str">
        <f>IF($G1964="","",INDEX('EDS Lookup'!$G$6:$G$2819,$G1964))</f>
        <v/>
      </c>
      <c r="G1964" t="str">
        <f>IF(1941&lt;=$B$4,IFERROR(MATCH(1941,'EDS Lookup'!$H$6:$H$2819,0),""),"")</f>
        <v/>
      </c>
      <c r="H1964" t="str">
        <f t="shared" si="30"/>
        <v/>
      </c>
    </row>
    <row r="1965" spans="1:8" ht="19.95" customHeight="1">
      <c r="A1965" s="5" t="str">
        <f>IF($G1965="","",INDEX('EDS Lookup'!$D$6:$D$2819,$G1965))</f>
        <v/>
      </c>
      <c r="B1965" s="5" t="str">
        <f>IF($G1965="","",INDEX('EDS Lookup'!$B$6:$B$2819,$G1965))</f>
        <v/>
      </c>
      <c r="C1965" s="17"/>
      <c r="D1965" s="6"/>
      <c r="E1965" s="7" t="str">
        <f>IF($G1965="","",INDEX('EDS Lookup'!$F$6:$F$2819,$G1965))</f>
        <v/>
      </c>
      <c r="F1965" s="8" t="str">
        <f>IF($G1965="","",INDEX('EDS Lookup'!$G$6:$G$2819,$G1965))</f>
        <v/>
      </c>
      <c r="G1965" t="str">
        <f>IF(1942&lt;=$B$4,IFERROR(MATCH(1942,'EDS Lookup'!$H$6:$H$2819,0),""),"")</f>
        <v/>
      </c>
      <c r="H1965" t="str">
        <f t="shared" si="30"/>
        <v/>
      </c>
    </row>
    <row r="1966" spans="1:8" ht="19.95" customHeight="1">
      <c r="A1966" s="5" t="str">
        <f>IF($G1966="","",INDEX('EDS Lookup'!$D$6:$D$2819,$G1966))</f>
        <v/>
      </c>
      <c r="B1966" s="5" t="str">
        <f>IF($G1966="","",INDEX('EDS Lookup'!$B$6:$B$2819,$G1966))</f>
        <v/>
      </c>
      <c r="C1966" s="17"/>
      <c r="D1966" s="6"/>
      <c r="E1966" s="7" t="str">
        <f>IF($G1966="","",INDEX('EDS Lookup'!$F$6:$F$2819,$G1966))</f>
        <v/>
      </c>
      <c r="F1966" s="8" t="str">
        <f>IF($G1966="","",INDEX('EDS Lookup'!$G$6:$G$2819,$G1966))</f>
        <v/>
      </c>
      <c r="G1966" t="str">
        <f>IF(1943&lt;=$B$4,IFERROR(MATCH(1943,'EDS Lookup'!$H$6:$H$2819,0),""),"")</f>
        <v/>
      </c>
      <c r="H1966" t="str">
        <f t="shared" si="30"/>
        <v/>
      </c>
    </row>
    <row r="1967" spans="1:8" ht="19.95" customHeight="1">
      <c r="A1967" s="5" t="str">
        <f>IF($G1967="","",INDEX('EDS Lookup'!$D$6:$D$2819,$G1967))</f>
        <v/>
      </c>
      <c r="B1967" s="5" t="str">
        <f>IF($G1967="","",INDEX('EDS Lookup'!$B$6:$B$2819,$G1967))</f>
        <v/>
      </c>
      <c r="C1967" s="17"/>
      <c r="D1967" s="6"/>
      <c r="E1967" s="7" t="str">
        <f>IF($G1967="","",INDEX('EDS Lookup'!$F$6:$F$2819,$G1967))</f>
        <v/>
      </c>
      <c r="F1967" s="8" t="str">
        <f>IF($G1967="","",INDEX('EDS Lookup'!$G$6:$G$2819,$G1967))</f>
        <v/>
      </c>
      <c r="G1967" t="str">
        <f>IF(1944&lt;=$B$4,IFERROR(MATCH(1944,'EDS Lookup'!$H$6:$H$2819,0),""),"")</f>
        <v/>
      </c>
      <c r="H1967" t="str">
        <f t="shared" si="30"/>
        <v/>
      </c>
    </row>
    <row r="1968" spans="1:8" ht="19.95" customHeight="1">
      <c r="A1968" s="5" t="str">
        <f>IF($G1968="","",INDEX('EDS Lookup'!$D$6:$D$2819,$G1968))</f>
        <v/>
      </c>
      <c r="B1968" s="5" t="str">
        <f>IF($G1968="","",INDEX('EDS Lookup'!$B$6:$B$2819,$G1968))</f>
        <v/>
      </c>
      <c r="C1968" s="17"/>
      <c r="D1968" s="6"/>
      <c r="E1968" s="7" t="str">
        <f>IF($G1968="","",INDEX('EDS Lookup'!$F$6:$F$2819,$G1968))</f>
        <v/>
      </c>
      <c r="F1968" s="8" t="str">
        <f>IF($G1968="","",INDEX('EDS Lookup'!$G$6:$G$2819,$G1968))</f>
        <v/>
      </c>
      <c r="G1968" t="str">
        <f>IF(1945&lt;=$B$4,IFERROR(MATCH(1945,'EDS Lookup'!$H$6:$H$2819,0),""),"")</f>
        <v/>
      </c>
      <c r="H1968" t="str">
        <f t="shared" si="30"/>
        <v/>
      </c>
    </row>
    <row r="1969" spans="1:8" ht="19.95" customHeight="1">
      <c r="A1969" s="5" t="str">
        <f>IF($G1969="","",INDEX('EDS Lookup'!$D$6:$D$2819,$G1969))</f>
        <v/>
      </c>
      <c r="B1969" s="5" t="str">
        <f>IF($G1969="","",INDEX('EDS Lookup'!$B$6:$B$2819,$G1969))</f>
        <v/>
      </c>
      <c r="C1969" s="17"/>
      <c r="D1969" s="6"/>
      <c r="E1969" s="7" t="str">
        <f>IF($G1969="","",INDEX('EDS Lookup'!$F$6:$F$2819,$G1969))</f>
        <v/>
      </c>
      <c r="F1969" s="8" t="str">
        <f>IF($G1969="","",INDEX('EDS Lookup'!$G$6:$G$2819,$G1969))</f>
        <v/>
      </c>
      <c r="G1969" t="str">
        <f>IF(1946&lt;=$B$4,IFERROR(MATCH(1946,'EDS Lookup'!$H$6:$H$2819,0),""),"")</f>
        <v/>
      </c>
      <c r="H1969" t="str">
        <f t="shared" si="30"/>
        <v/>
      </c>
    </row>
    <row r="1970" spans="1:8" ht="19.95" customHeight="1">
      <c r="A1970" s="5" t="str">
        <f>IF($G1970="","",INDEX('EDS Lookup'!$D$6:$D$2819,$G1970))</f>
        <v/>
      </c>
      <c r="B1970" s="5" t="str">
        <f>IF($G1970="","",INDEX('EDS Lookup'!$B$6:$B$2819,$G1970))</f>
        <v/>
      </c>
      <c r="C1970" s="17"/>
      <c r="D1970" s="6"/>
      <c r="E1970" s="7" t="str">
        <f>IF($G1970="","",INDEX('EDS Lookup'!$F$6:$F$2819,$G1970))</f>
        <v/>
      </c>
      <c r="F1970" s="8" t="str">
        <f>IF($G1970="","",INDEX('EDS Lookup'!$G$6:$G$2819,$G1970))</f>
        <v/>
      </c>
      <c r="G1970" t="str">
        <f>IF(1947&lt;=$B$4,IFERROR(MATCH(1947,'EDS Lookup'!$H$6:$H$2819,0),""),"")</f>
        <v/>
      </c>
      <c r="H1970" t="str">
        <f t="shared" si="30"/>
        <v/>
      </c>
    </row>
    <row r="1971" spans="1:8" ht="19.95" customHeight="1">
      <c r="A1971" s="5" t="str">
        <f>IF($G1971="","",INDEX('EDS Lookup'!$D$6:$D$2819,$G1971))</f>
        <v/>
      </c>
      <c r="B1971" s="5" t="str">
        <f>IF($G1971="","",INDEX('EDS Lookup'!$B$6:$B$2819,$G1971))</f>
        <v/>
      </c>
      <c r="C1971" s="17"/>
      <c r="D1971" s="6"/>
      <c r="E1971" s="7" t="str">
        <f>IF($G1971="","",INDEX('EDS Lookup'!$F$6:$F$2819,$G1971))</f>
        <v/>
      </c>
      <c r="F1971" s="8" t="str">
        <f>IF($G1971="","",INDEX('EDS Lookup'!$G$6:$G$2819,$G1971))</f>
        <v/>
      </c>
      <c r="G1971" t="str">
        <f>IF(1948&lt;=$B$4,IFERROR(MATCH(1948,'EDS Lookup'!$H$6:$H$2819,0),""),"")</f>
        <v/>
      </c>
      <c r="H1971" t="str">
        <f t="shared" si="30"/>
        <v/>
      </c>
    </row>
    <row r="1972" spans="1:8" ht="19.95" customHeight="1">
      <c r="A1972" s="5" t="str">
        <f>IF($G1972="","",INDEX('EDS Lookup'!$D$6:$D$2819,$G1972))</f>
        <v/>
      </c>
      <c r="B1972" s="5" t="str">
        <f>IF($G1972="","",INDEX('EDS Lookup'!$B$6:$B$2819,$G1972))</f>
        <v/>
      </c>
      <c r="C1972" s="17"/>
      <c r="D1972" s="6"/>
      <c r="E1972" s="7" t="str">
        <f>IF($G1972="","",INDEX('EDS Lookup'!$F$6:$F$2819,$G1972))</f>
        <v/>
      </c>
      <c r="F1972" s="8" t="str">
        <f>IF($G1972="","",INDEX('EDS Lookup'!$G$6:$G$2819,$G1972))</f>
        <v/>
      </c>
      <c r="G1972" t="str">
        <f>IF(1949&lt;=$B$4,IFERROR(MATCH(1949,'EDS Lookup'!$H$6:$H$2819,0),""),"")</f>
        <v/>
      </c>
      <c r="H1972" t="str">
        <f t="shared" si="30"/>
        <v/>
      </c>
    </row>
    <row r="1973" spans="1:8" ht="19.95" customHeight="1">
      <c r="A1973" s="5" t="str">
        <f>IF($G1973="","",INDEX('EDS Lookup'!$D$6:$D$2819,$G1973))</f>
        <v/>
      </c>
      <c r="B1973" s="5" t="str">
        <f>IF($G1973="","",INDEX('EDS Lookup'!$B$6:$B$2819,$G1973))</f>
        <v/>
      </c>
      <c r="C1973" s="17"/>
      <c r="D1973" s="6"/>
      <c r="E1973" s="7" t="str">
        <f>IF($G1973="","",INDEX('EDS Lookup'!$F$6:$F$2819,$G1973))</f>
        <v/>
      </c>
      <c r="F1973" s="8" t="str">
        <f>IF($G1973="","",INDEX('EDS Lookup'!$G$6:$G$2819,$G1973))</f>
        <v/>
      </c>
      <c r="G1973" t="str">
        <f>IF(1950&lt;=$B$4,IFERROR(MATCH(1950,'EDS Lookup'!$H$6:$H$2819,0),""),"")</f>
        <v/>
      </c>
      <c r="H1973" t="str">
        <f t="shared" si="30"/>
        <v/>
      </c>
    </row>
    <row r="1974" spans="1:8" ht="19.95" customHeight="1">
      <c r="A1974" s="5" t="str">
        <f>IF($G1974="","",INDEX('EDS Lookup'!$D$6:$D$2819,$G1974))</f>
        <v/>
      </c>
      <c r="B1974" s="5" t="str">
        <f>IF($G1974="","",INDEX('EDS Lookup'!$B$6:$B$2819,$G1974))</f>
        <v/>
      </c>
      <c r="C1974" s="17"/>
      <c r="D1974" s="6"/>
      <c r="E1974" s="7" t="str">
        <f>IF($G1974="","",INDEX('EDS Lookup'!$F$6:$F$2819,$G1974))</f>
        <v/>
      </c>
      <c r="F1974" s="8" t="str">
        <f>IF($G1974="","",INDEX('EDS Lookup'!$G$6:$G$2819,$G1974))</f>
        <v/>
      </c>
      <c r="G1974" t="str">
        <f>IF(1951&lt;=$B$4,IFERROR(MATCH(1951,'EDS Lookup'!$H$6:$H$2819,0),""),"")</f>
        <v/>
      </c>
      <c r="H1974" t="str">
        <f t="shared" si="30"/>
        <v/>
      </c>
    </row>
    <row r="1975" spans="1:8" ht="19.95" customHeight="1">
      <c r="A1975" s="5" t="str">
        <f>IF($G1975="","",INDEX('EDS Lookup'!$D$6:$D$2819,$G1975))</f>
        <v/>
      </c>
      <c r="B1975" s="5" t="str">
        <f>IF($G1975="","",INDEX('EDS Lookup'!$B$6:$B$2819,$G1975))</f>
        <v/>
      </c>
      <c r="C1975" s="17"/>
      <c r="D1975" s="6"/>
      <c r="E1975" s="7" t="str">
        <f>IF($G1975="","",INDEX('EDS Lookup'!$F$6:$F$2819,$G1975))</f>
        <v/>
      </c>
      <c r="F1975" s="8" t="str">
        <f>IF($G1975="","",INDEX('EDS Lookup'!$G$6:$G$2819,$G1975))</f>
        <v/>
      </c>
      <c r="G1975" t="str">
        <f>IF(1952&lt;=$B$4,IFERROR(MATCH(1952,'EDS Lookup'!$H$6:$H$2819,0),""),"")</f>
        <v/>
      </c>
      <c r="H1975" t="str">
        <f t="shared" si="30"/>
        <v/>
      </c>
    </row>
    <row r="1976" spans="1:8" ht="19.95" customHeight="1">
      <c r="A1976" s="5" t="str">
        <f>IF($G1976="","",INDEX('EDS Lookup'!$D$6:$D$2819,$G1976))</f>
        <v/>
      </c>
      <c r="B1976" s="5" t="str">
        <f>IF($G1976="","",INDEX('EDS Lookup'!$B$6:$B$2819,$G1976))</f>
        <v/>
      </c>
      <c r="C1976" s="17"/>
      <c r="D1976" s="6"/>
      <c r="E1976" s="7" t="str">
        <f>IF($G1976="","",INDEX('EDS Lookup'!$F$6:$F$2819,$G1976))</f>
        <v/>
      </c>
      <c r="F1976" s="8" t="str">
        <f>IF($G1976="","",INDEX('EDS Lookup'!$G$6:$G$2819,$G1976))</f>
        <v/>
      </c>
      <c r="G1976" t="str">
        <f>IF(1953&lt;=$B$4,IFERROR(MATCH(1953,'EDS Lookup'!$H$6:$H$2819,0),""),"")</f>
        <v/>
      </c>
      <c r="H1976" t="str">
        <f t="shared" si="30"/>
        <v/>
      </c>
    </row>
    <row r="1977" spans="1:8" ht="19.95" customHeight="1">
      <c r="A1977" s="5" t="str">
        <f>IF($G1977="","",INDEX('EDS Lookup'!$D$6:$D$2819,$G1977))</f>
        <v/>
      </c>
      <c r="B1977" s="5" t="str">
        <f>IF($G1977="","",INDEX('EDS Lookup'!$B$6:$B$2819,$G1977))</f>
        <v/>
      </c>
      <c r="C1977" s="17"/>
      <c r="D1977" s="6"/>
      <c r="E1977" s="7" t="str">
        <f>IF($G1977="","",INDEX('EDS Lookup'!$F$6:$F$2819,$G1977))</f>
        <v/>
      </c>
      <c r="F1977" s="8" t="str">
        <f>IF($G1977="","",INDEX('EDS Lookup'!$G$6:$G$2819,$G1977))</f>
        <v/>
      </c>
      <c r="G1977" t="str">
        <f>IF(1954&lt;=$B$4,IFERROR(MATCH(1954,'EDS Lookup'!$H$6:$H$2819,0),""),"")</f>
        <v/>
      </c>
      <c r="H1977" t="str">
        <f t="shared" si="30"/>
        <v/>
      </c>
    </row>
    <row r="1978" spans="1:8" ht="19.95" customHeight="1">
      <c r="A1978" s="5" t="str">
        <f>IF($G1978="","",INDEX('EDS Lookup'!$D$6:$D$2819,$G1978))</f>
        <v/>
      </c>
      <c r="B1978" s="5" t="str">
        <f>IF($G1978="","",INDEX('EDS Lookup'!$B$6:$B$2819,$G1978))</f>
        <v/>
      </c>
      <c r="C1978" s="17"/>
      <c r="D1978" s="6"/>
      <c r="E1978" s="7" t="str">
        <f>IF($G1978="","",INDEX('EDS Lookup'!$F$6:$F$2819,$G1978))</f>
        <v/>
      </c>
      <c r="F1978" s="8" t="str">
        <f>IF($G1978="","",INDEX('EDS Lookup'!$G$6:$G$2819,$G1978))</f>
        <v/>
      </c>
      <c r="G1978" t="str">
        <f>IF(1955&lt;=$B$4,IFERROR(MATCH(1955,'EDS Lookup'!$H$6:$H$2819,0),""),"")</f>
        <v/>
      </c>
      <c r="H1978" t="str">
        <f t="shared" si="30"/>
        <v/>
      </c>
    </row>
    <row r="1979" spans="1:8" ht="19.95" customHeight="1">
      <c r="A1979" s="5" t="str">
        <f>IF($G1979="","",INDEX('EDS Lookup'!$D$6:$D$2819,$G1979))</f>
        <v/>
      </c>
      <c r="B1979" s="5" t="str">
        <f>IF($G1979="","",INDEX('EDS Lookup'!$B$6:$B$2819,$G1979))</f>
        <v/>
      </c>
      <c r="C1979" s="17"/>
      <c r="D1979" s="6"/>
      <c r="E1979" s="7" t="str">
        <f>IF($G1979="","",INDEX('EDS Lookup'!$F$6:$F$2819,$G1979))</f>
        <v/>
      </c>
      <c r="F1979" s="8" t="str">
        <f>IF($G1979="","",INDEX('EDS Lookup'!$G$6:$G$2819,$G1979))</f>
        <v/>
      </c>
      <c r="G1979" t="str">
        <f>IF(1956&lt;=$B$4,IFERROR(MATCH(1956,'EDS Lookup'!$H$6:$H$2819,0),""),"")</f>
        <v/>
      </c>
      <c r="H1979" t="str">
        <f t="shared" si="30"/>
        <v/>
      </c>
    </row>
    <row r="1980" spans="1:8" ht="19.95" customHeight="1">
      <c r="A1980" s="5" t="str">
        <f>IF($G1980="","",INDEX('EDS Lookup'!$D$6:$D$2819,$G1980))</f>
        <v/>
      </c>
      <c r="B1980" s="5" t="str">
        <f>IF($G1980="","",INDEX('EDS Lookup'!$B$6:$B$2819,$G1980))</f>
        <v/>
      </c>
      <c r="C1980" s="17"/>
      <c r="D1980" s="6"/>
      <c r="E1980" s="7" t="str">
        <f>IF($G1980="","",INDEX('EDS Lookup'!$F$6:$F$2819,$G1980))</f>
        <v/>
      </c>
      <c r="F1980" s="8" t="str">
        <f>IF($G1980="","",INDEX('EDS Lookup'!$G$6:$G$2819,$G1980))</f>
        <v/>
      </c>
      <c r="G1980" t="str">
        <f>IF(1957&lt;=$B$4,IFERROR(MATCH(1957,'EDS Lookup'!$H$6:$H$2819,0),""),"")</f>
        <v/>
      </c>
      <c r="H1980" t="str">
        <f t="shared" si="30"/>
        <v/>
      </c>
    </row>
    <row r="1981" spans="1:8" ht="19.95" customHeight="1">
      <c r="A1981" s="5" t="str">
        <f>IF($G1981="","",INDEX('EDS Lookup'!$D$6:$D$2819,$G1981))</f>
        <v/>
      </c>
      <c r="B1981" s="5" t="str">
        <f>IF($G1981="","",INDEX('EDS Lookup'!$B$6:$B$2819,$G1981))</f>
        <v/>
      </c>
      <c r="C1981" s="17"/>
      <c r="D1981" s="6"/>
      <c r="E1981" s="7" t="str">
        <f>IF($G1981="","",INDEX('EDS Lookup'!$F$6:$F$2819,$G1981))</f>
        <v/>
      </c>
      <c r="F1981" s="8" t="str">
        <f>IF($G1981="","",INDEX('EDS Lookup'!$G$6:$G$2819,$G1981))</f>
        <v/>
      </c>
      <c r="G1981" t="str">
        <f>IF(1958&lt;=$B$4,IFERROR(MATCH(1958,'EDS Lookup'!$H$6:$H$2819,0),""),"")</f>
        <v/>
      </c>
      <c r="H1981" t="str">
        <f t="shared" si="30"/>
        <v/>
      </c>
    </row>
    <row r="1982" spans="1:8" ht="19.95" customHeight="1">
      <c r="A1982" s="5" t="str">
        <f>IF($G1982="","",INDEX('EDS Lookup'!$D$6:$D$2819,$G1982))</f>
        <v/>
      </c>
      <c r="B1982" s="5" t="str">
        <f>IF($G1982="","",INDEX('EDS Lookup'!$B$6:$B$2819,$G1982))</f>
        <v/>
      </c>
      <c r="C1982" s="17"/>
      <c r="D1982" s="6"/>
      <c r="E1982" s="7" t="str">
        <f>IF($G1982="","",INDEX('EDS Lookup'!$F$6:$F$2819,$G1982))</f>
        <v/>
      </c>
      <c r="F1982" s="8" t="str">
        <f>IF($G1982="","",INDEX('EDS Lookup'!$G$6:$G$2819,$G1982))</f>
        <v/>
      </c>
      <c r="G1982" t="str">
        <f>IF(1959&lt;=$B$4,IFERROR(MATCH(1959,'EDS Lookup'!$H$6:$H$2819,0),""),"")</f>
        <v/>
      </c>
      <c r="H1982" t="str">
        <f t="shared" si="30"/>
        <v/>
      </c>
    </row>
    <row r="1983" spans="1:8" ht="19.95" customHeight="1">
      <c r="A1983" s="5" t="str">
        <f>IF($G1983="","",INDEX('EDS Lookup'!$D$6:$D$2819,$G1983))</f>
        <v/>
      </c>
      <c r="B1983" s="5" t="str">
        <f>IF($G1983="","",INDEX('EDS Lookup'!$B$6:$B$2819,$G1983))</f>
        <v/>
      </c>
      <c r="C1983" s="17"/>
      <c r="D1983" s="6"/>
      <c r="E1983" s="7" t="str">
        <f>IF($G1983="","",INDEX('EDS Lookup'!$F$6:$F$2819,$G1983))</f>
        <v/>
      </c>
      <c r="F1983" s="8" t="str">
        <f>IF($G1983="","",INDEX('EDS Lookup'!$G$6:$G$2819,$G1983))</f>
        <v/>
      </c>
      <c r="G1983" t="str">
        <f>IF(1960&lt;=$B$4,IFERROR(MATCH(1960,'EDS Lookup'!$H$6:$H$2819,0),""),"")</f>
        <v/>
      </c>
      <c r="H1983" t="str">
        <f t="shared" si="30"/>
        <v/>
      </c>
    </row>
    <row r="1984" spans="1:8" ht="19.95" customHeight="1">
      <c r="A1984" s="5" t="str">
        <f>IF($G1984="","",INDEX('EDS Lookup'!$D$6:$D$2819,$G1984))</f>
        <v/>
      </c>
      <c r="B1984" s="5" t="str">
        <f>IF($G1984="","",INDEX('EDS Lookup'!$B$6:$B$2819,$G1984))</f>
        <v/>
      </c>
      <c r="C1984" s="17"/>
      <c r="D1984" s="6"/>
      <c r="E1984" s="7" t="str">
        <f>IF($G1984="","",INDEX('EDS Lookup'!$F$6:$F$2819,$G1984))</f>
        <v/>
      </c>
      <c r="F1984" s="8" t="str">
        <f>IF($G1984="","",INDEX('EDS Lookup'!$G$6:$G$2819,$G1984))</f>
        <v/>
      </c>
      <c r="G1984" t="str">
        <f>IF(1961&lt;=$B$4,IFERROR(MATCH(1961,'EDS Lookup'!$H$6:$H$2819,0),""),"")</f>
        <v/>
      </c>
      <c r="H1984" t="str">
        <f t="shared" si="30"/>
        <v/>
      </c>
    </row>
    <row r="1985" spans="1:8" ht="19.95" customHeight="1">
      <c r="A1985" s="5" t="str">
        <f>IF($G1985="","",INDEX('EDS Lookup'!$D$6:$D$2819,$G1985))</f>
        <v/>
      </c>
      <c r="B1985" s="5" t="str">
        <f>IF($G1985="","",INDEX('EDS Lookup'!$B$6:$B$2819,$G1985))</f>
        <v/>
      </c>
      <c r="C1985" s="17"/>
      <c r="D1985" s="6"/>
      <c r="E1985" s="7" t="str">
        <f>IF($G1985="","",INDEX('EDS Lookup'!$F$6:$F$2819,$G1985))</f>
        <v/>
      </c>
      <c r="F1985" s="8" t="str">
        <f>IF($G1985="","",INDEX('EDS Lookup'!$G$6:$G$2819,$G1985))</f>
        <v/>
      </c>
      <c r="G1985" t="str">
        <f>IF(1962&lt;=$B$4,IFERROR(MATCH(1962,'EDS Lookup'!$H$6:$H$2819,0),""),"")</f>
        <v/>
      </c>
      <c r="H1985" t="str">
        <f t="shared" si="30"/>
        <v/>
      </c>
    </row>
    <row r="1986" spans="1:8" ht="19.95" customHeight="1">
      <c r="A1986" s="5" t="str">
        <f>IF($G1986="","",INDEX('EDS Lookup'!$D$6:$D$2819,$G1986))</f>
        <v/>
      </c>
      <c r="B1986" s="5" t="str">
        <f>IF($G1986="","",INDEX('EDS Lookup'!$B$6:$B$2819,$G1986))</f>
        <v/>
      </c>
      <c r="C1986" s="17"/>
      <c r="D1986" s="6"/>
      <c r="E1986" s="7" t="str">
        <f>IF($G1986="","",INDEX('EDS Lookup'!$F$6:$F$2819,$G1986))</f>
        <v/>
      </c>
      <c r="F1986" s="8" t="str">
        <f>IF($G1986="","",INDEX('EDS Lookup'!$G$6:$G$2819,$G1986))</f>
        <v/>
      </c>
      <c r="G1986" t="str">
        <f>IF(1963&lt;=$B$4,IFERROR(MATCH(1963,'EDS Lookup'!$H$6:$H$2819,0),""),"")</f>
        <v/>
      </c>
      <c r="H1986" t="str">
        <f t="shared" si="30"/>
        <v/>
      </c>
    </row>
    <row r="1987" spans="1:8" ht="19.95" customHeight="1">
      <c r="A1987" s="5" t="str">
        <f>IF($G1987="","",INDEX('EDS Lookup'!$D$6:$D$2819,$G1987))</f>
        <v/>
      </c>
      <c r="B1987" s="5" t="str">
        <f>IF($G1987="","",INDEX('EDS Lookup'!$B$6:$B$2819,$G1987))</f>
        <v/>
      </c>
      <c r="C1987" s="17"/>
      <c r="D1987" s="6"/>
      <c r="E1987" s="7" t="str">
        <f>IF($G1987="","",INDEX('EDS Lookup'!$F$6:$F$2819,$G1987))</f>
        <v/>
      </c>
      <c r="F1987" s="8" t="str">
        <f>IF($G1987="","",INDEX('EDS Lookup'!$G$6:$G$2819,$G1987))</f>
        <v/>
      </c>
      <c r="G1987" t="str">
        <f>IF(1964&lt;=$B$4,IFERROR(MATCH(1964,'EDS Lookup'!$H$6:$H$2819,0),""),"")</f>
        <v/>
      </c>
      <c r="H1987" t="str">
        <f t="shared" si="30"/>
        <v/>
      </c>
    </row>
    <row r="1988" spans="1:8" ht="19.95" customHeight="1">
      <c r="A1988" s="5" t="str">
        <f>IF($G1988="","",INDEX('EDS Lookup'!$D$6:$D$2819,$G1988))</f>
        <v/>
      </c>
      <c r="B1988" s="5" t="str">
        <f>IF($G1988="","",INDEX('EDS Lookup'!$B$6:$B$2819,$G1988))</f>
        <v/>
      </c>
      <c r="C1988" s="17"/>
      <c r="D1988" s="6"/>
      <c r="E1988" s="7" t="str">
        <f>IF($G1988="","",INDEX('EDS Lookup'!$F$6:$F$2819,$G1988))</f>
        <v/>
      </c>
      <c r="F1988" s="8" t="str">
        <f>IF($G1988="","",INDEX('EDS Lookup'!$G$6:$G$2819,$G1988))</f>
        <v/>
      </c>
      <c r="G1988" t="str">
        <f>IF(1965&lt;=$B$4,IFERROR(MATCH(1965,'EDS Lookup'!$H$6:$H$2819,0),""),"")</f>
        <v/>
      </c>
      <c r="H1988" t="str">
        <f t="shared" si="30"/>
        <v/>
      </c>
    </row>
    <row r="1989" spans="1:8" ht="19.95" customHeight="1">
      <c r="A1989" s="5" t="str">
        <f>IF($G1989="","",INDEX('EDS Lookup'!$D$6:$D$2819,$G1989))</f>
        <v/>
      </c>
      <c r="B1989" s="5" t="str">
        <f>IF($G1989="","",INDEX('EDS Lookup'!$B$6:$B$2819,$G1989))</f>
        <v/>
      </c>
      <c r="C1989" s="17"/>
      <c r="D1989" s="6"/>
      <c r="E1989" s="7" t="str">
        <f>IF($G1989="","",INDEX('EDS Lookup'!$F$6:$F$2819,$G1989))</f>
        <v/>
      </c>
      <c r="F1989" s="8" t="str">
        <f>IF($G1989="","",INDEX('EDS Lookup'!$G$6:$G$2819,$G1989))</f>
        <v/>
      </c>
      <c r="G1989" t="str">
        <f>IF(1966&lt;=$B$4,IFERROR(MATCH(1966,'EDS Lookup'!$H$6:$H$2819,0),""),"")</f>
        <v/>
      </c>
      <c r="H1989" t="str">
        <f t="shared" si="30"/>
        <v/>
      </c>
    </row>
    <row r="1990" spans="1:8" ht="19.95" customHeight="1">
      <c r="A1990" s="5" t="str">
        <f>IF($G1990="","",INDEX('EDS Lookup'!$D$6:$D$2819,$G1990))</f>
        <v/>
      </c>
      <c r="B1990" s="5" t="str">
        <f>IF($G1990="","",INDEX('EDS Lookup'!$B$6:$B$2819,$G1990))</f>
        <v/>
      </c>
      <c r="C1990" s="17"/>
      <c r="D1990" s="6"/>
      <c r="E1990" s="7" t="str">
        <f>IF($G1990="","",INDEX('EDS Lookup'!$F$6:$F$2819,$G1990))</f>
        <v/>
      </c>
      <c r="F1990" s="8" t="str">
        <f>IF($G1990="","",INDEX('EDS Lookup'!$G$6:$G$2819,$G1990))</f>
        <v/>
      </c>
      <c r="G1990" t="str">
        <f>IF(1967&lt;=$B$4,IFERROR(MATCH(1967,'EDS Lookup'!$H$6:$H$2819,0),""),"")</f>
        <v/>
      </c>
      <c r="H1990" t="str">
        <f t="shared" si="30"/>
        <v/>
      </c>
    </row>
    <row r="1991" spans="1:8" ht="19.95" customHeight="1">
      <c r="A1991" s="5" t="str">
        <f>IF($G1991="","",INDEX('EDS Lookup'!$D$6:$D$2819,$G1991))</f>
        <v/>
      </c>
      <c r="B1991" s="5" t="str">
        <f>IF($G1991="","",INDEX('EDS Lookup'!$B$6:$B$2819,$G1991))</f>
        <v/>
      </c>
      <c r="C1991" s="17"/>
      <c r="D1991" s="6"/>
      <c r="E1991" s="7" t="str">
        <f>IF($G1991="","",INDEX('EDS Lookup'!$F$6:$F$2819,$G1991))</f>
        <v/>
      </c>
      <c r="F1991" s="8" t="str">
        <f>IF($G1991="","",INDEX('EDS Lookup'!$G$6:$G$2819,$G1991))</f>
        <v/>
      </c>
      <c r="G1991" t="str">
        <f>IF(1968&lt;=$B$4,IFERROR(MATCH(1968,'EDS Lookup'!$H$6:$H$2819,0),""),"")</f>
        <v/>
      </c>
      <c r="H1991" t="str">
        <f t="shared" si="30"/>
        <v/>
      </c>
    </row>
    <row r="1992" spans="1:8" ht="19.95" customHeight="1">
      <c r="A1992" s="5" t="str">
        <f>IF($G1992="","",INDEX('EDS Lookup'!$D$6:$D$2819,$G1992))</f>
        <v/>
      </c>
      <c r="B1992" s="5" t="str">
        <f>IF($G1992="","",INDEX('EDS Lookup'!$B$6:$B$2819,$G1992))</f>
        <v/>
      </c>
      <c r="C1992" s="17"/>
      <c r="D1992" s="6"/>
      <c r="E1992" s="7" t="str">
        <f>IF($G1992="","",INDEX('EDS Lookup'!$F$6:$F$2819,$G1992))</f>
        <v/>
      </c>
      <c r="F1992" s="8" t="str">
        <f>IF($G1992="","",INDEX('EDS Lookup'!$G$6:$G$2819,$G1992))</f>
        <v/>
      </c>
      <c r="G1992" t="str">
        <f>IF(1969&lt;=$B$4,IFERROR(MATCH(1969,'EDS Lookup'!$H$6:$H$2819,0),""),"")</f>
        <v/>
      </c>
      <c r="H1992" t="str">
        <f t="shared" si="30"/>
        <v/>
      </c>
    </row>
    <row r="1993" spans="1:8" ht="19.95" customHeight="1">
      <c r="A1993" s="5" t="str">
        <f>IF($G1993="","",INDEX('EDS Lookup'!$D$6:$D$2819,$G1993))</f>
        <v/>
      </c>
      <c r="B1993" s="5" t="str">
        <f>IF($G1993="","",INDEX('EDS Lookup'!$B$6:$B$2819,$G1993))</f>
        <v/>
      </c>
      <c r="C1993" s="17"/>
      <c r="D1993" s="6"/>
      <c r="E1993" s="7" t="str">
        <f>IF($G1993="","",INDEX('EDS Lookup'!$F$6:$F$2819,$G1993))</f>
        <v/>
      </c>
      <c r="F1993" s="8" t="str">
        <f>IF($G1993="","",INDEX('EDS Lookup'!$G$6:$G$2819,$G1993))</f>
        <v/>
      </c>
      <c r="G1993" t="str">
        <f>IF(1970&lt;=$B$4,IFERROR(MATCH(1970,'EDS Lookup'!$H$6:$H$2819,0),""),"")</f>
        <v/>
      </c>
      <c r="H1993" t="str">
        <f t="shared" si="30"/>
        <v/>
      </c>
    </row>
    <row r="1994" spans="1:8" ht="19.95" customHeight="1">
      <c r="A1994" s="5" t="str">
        <f>IF($G1994="","",INDEX('EDS Lookup'!$D$6:$D$2819,$G1994))</f>
        <v/>
      </c>
      <c r="B1994" s="5" t="str">
        <f>IF($G1994="","",INDEX('EDS Lookup'!$B$6:$B$2819,$G1994))</f>
        <v/>
      </c>
      <c r="C1994" s="17"/>
      <c r="D1994" s="6"/>
      <c r="E1994" s="7" t="str">
        <f>IF($G1994="","",INDEX('EDS Lookup'!$F$6:$F$2819,$G1994))</f>
        <v/>
      </c>
      <c r="F1994" s="8" t="str">
        <f>IF($G1994="","",INDEX('EDS Lookup'!$G$6:$G$2819,$G1994))</f>
        <v/>
      </c>
      <c r="G1994" t="str">
        <f>IF(1971&lt;=$B$4,IFERROR(MATCH(1971,'EDS Lookup'!$H$6:$H$2819,0),""),"")</f>
        <v/>
      </c>
      <c r="H1994" t="str">
        <f t="shared" si="30"/>
        <v/>
      </c>
    </row>
    <row r="1995" spans="1:8" ht="19.95" customHeight="1">
      <c r="A1995" s="5" t="str">
        <f>IF($G1995="","",INDEX('EDS Lookup'!$D$6:$D$2819,$G1995))</f>
        <v/>
      </c>
      <c r="B1995" s="5" t="str">
        <f>IF($G1995="","",INDEX('EDS Lookup'!$B$6:$B$2819,$G1995))</f>
        <v/>
      </c>
      <c r="C1995" s="17"/>
      <c r="D1995" s="6"/>
      <c r="E1995" s="7" t="str">
        <f>IF($G1995="","",INDEX('EDS Lookup'!$F$6:$F$2819,$G1995))</f>
        <v/>
      </c>
      <c r="F1995" s="8" t="str">
        <f>IF($G1995="","",INDEX('EDS Lookup'!$G$6:$G$2819,$G1995))</f>
        <v/>
      </c>
      <c r="G1995" t="str">
        <f>IF(1972&lt;=$B$4,IFERROR(MATCH(1972,'EDS Lookup'!$H$6:$H$2819,0),""),"")</f>
        <v/>
      </c>
      <c r="H1995" t="str">
        <f t="shared" si="30"/>
        <v/>
      </c>
    </row>
    <row r="1996" spans="1:8" ht="19.95" customHeight="1">
      <c r="A1996" s="5" t="str">
        <f>IF($G1996="","",INDEX('EDS Lookup'!$D$6:$D$2819,$G1996))</f>
        <v/>
      </c>
      <c r="B1996" s="5" t="str">
        <f>IF($G1996="","",INDEX('EDS Lookup'!$B$6:$B$2819,$G1996))</f>
        <v/>
      </c>
      <c r="C1996" s="17"/>
      <c r="D1996" s="6"/>
      <c r="E1996" s="7" t="str">
        <f>IF($G1996="","",INDEX('EDS Lookup'!$F$6:$F$2819,$G1996))</f>
        <v/>
      </c>
      <c r="F1996" s="8" t="str">
        <f>IF($G1996="","",INDEX('EDS Lookup'!$G$6:$G$2819,$G1996))</f>
        <v/>
      </c>
      <c r="G1996" t="str">
        <f>IF(1973&lt;=$B$4,IFERROR(MATCH(1973,'EDS Lookup'!$H$6:$H$2819,0),""),"")</f>
        <v/>
      </c>
      <c r="H1996" t="str">
        <f t="shared" si="30"/>
        <v/>
      </c>
    </row>
    <row r="1997" spans="1:8" ht="19.95" customHeight="1">
      <c r="A1997" s="5" t="str">
        <f>IF($G1997="","",INDEX('EDS Lookup'!$D$6:$D$2819,$G1997))</f>
        <v/>
      </c>
      <c r="B1997" s="5" t="str">
        <f>IF($G1997="","",INDEX('EDS Lookup'!$B$6:$B$2819,$G1997))</f>
        <v/>
      </c>
      <c r="C1997" s="17"/>
      <c r="D1997" s="6"/>
      <c r="E1997" s="7" t="str">
        <f>IF($G1997="","",INDEX('EDS Lookup'!$F$6:$F$2819,$G1997))</f>
        <v/>
      </c>
      <c r="F1997" s="8" t="str">
        <f>IF($G1997="","",INDEX('EDS Lookup'!$G$6:$G$2819,$G1997))</f>
        <v/>
      </c>
      <c r="G1997" t="str">
        <f>IF(1974&lt;=$B$4,IFERROR(MATCH(1974,'EDS Lookup'!$H$6:$H$2819,0),""),"")</f>
        <v/>
      </c>
      <c r="H1997" t="str">
        <f t="shared" si="30"/>
        <v/>
      </c>
    </row>
    <row r="1998" spans="1:8" ht="19.95" customHeight="1">
      <c r="A1998" s="5" t="str">
        <f>IF($G1998="","",INDEX('EDS Lookup'!$D$6:$D$2819,$G1998))</f>
        <v/>
      </c>
      <c r="B1998" s="5" t="str">
        <f>IF($G1998="","",INDEX('EDS Lookup'!$B$6:$B$2819,$G1998))</f>
        <v/>
      </c>
      <c r="C1998" s="17"/>
      <c r="D1998" s="6"/>
      <c r="E1998" s="7" t="str">
        <f>IF($G1998="","",INDEX('EDS Lookup'!$F$6:$F$2819,$G1998))</f>
        <v/>
      </c>
      <c r="F1998" s="8" t="str">
        <f>IF($G1998="","",INDEX('EDS Lookup'!$G$6:$G$2819,$G1998))</f>
        <v/>
      </c>
      <c r="G1998" t="str">
        <f>IF(1975&lt;=$B$4,IFERROR(MATCH(1975,'EDS Lookup'!$H$6:$H$2819,0),""),"")</f>
        <v/>
      </c>
      <c r="H1998" t="str">
        <f t="shared" si="30"/>
        <v/>
      </c>
    </row>
    <row r="1999" spans="1:8" ht="19.95" customHeight="1">
      <c r="A1999" s="5" t="str">
        <f>IF($G1999="","",INDEX('EDS Lookup'!$D$6:$D$2819,$G1999))</f>
        <v/>
      </c>
      <c r="B1999" s="5" t="str">
        <f>IF($G1999="","",INDEX('EDS Lookup'!$B$6:$B$2819,$G1999))</f>
        <v/>
      </c>
      <c r="C1999" s="17"/>
      <c r="D1999" s="6"/>
      <c r="E1999" s="7" t="str">
        <f>IF($G1999="","",INDEX('EDS Lookup'!$F$6:$F$2819,$G1999))</f>
        <v/>
      </c>
      <c r="F1999" s="8" t="str">
        <f>IF($G1999="","",INDEX('EDS Lookup'!$G$6:$G$2819,$G1999))</f>
        <v/>
      </c>
      <c r="G1999" t="str">
        <f>IF(1976&lt;=$B$4,IFERROR(MATCH(1976,'EDS Lookup'!$H$6:$H$2819,0),""),"")</f>
        <v/>
      </c>
      <c r="H1999" t="str">
        <f t="shared" si="30"/>
        <v/>
      </c>
    </row>
    <row r="2000" spans="1:8" ht="19.95" customHeight="1">
      <c r="A2000" s="5" t="str">
        <f>IF($G2000="","",INDEX('EDS Lookup'!$D$6:$D$2819,$G2000))</f>
        <v/>
      </c>
      <c r="B2000" s="5" t="str">
        <f>IF($G2000="","",INDEX('EDS Lookup'!$B$6:$B$2819,$G2000))</f>
        <v/>
      </c>
      <c r="C2000" s="17"/>
      <c r="D2000" s="6"/>
      <c r="E2000" s="7" t="str">
        <f>IF($G2000="","",INDEX('EDS Lookup'!$F$6:$F$2819,$G2000))</f>
        <v/>
      </c>
      <c r="F2000" s="8" t="str">
        <f>IF($G2000="","",INDEX('EDS Lookup'!$G$6:$G$2819,$G2000))</f>
        <v/>
      </c>
      <c r="G2000" t="str">
        <f>IF(1977&lt;=$B$4,IFERROR(MATCH(1977,'EDS Lookup'!$H$6:$H$2819,0),""),"")</f>
        <v/>
      </c>
      <c r="H2000" t="str">
        <f t="shared" si="30"/>
        <v/>
      </c>
    </row>
    <row r="2001" spans="1:8" ht="19.95" customHeight="1">
      <c r="A2001" s="5" t="str">
        <f>IF($G2001="","",INDEX('EDS Lookup'!$D$6:$D$2819,$G2001))</f>
        <v/>
      </c>
      <c r="B2001" s="5" t="str">
        <f>IF($G2001="","",INDEX('EDS Lookup'!$B$6:$B$2819,$G2001))</f>
        <v/>
      </c>
      <c r="C2001" s="17"/>
      <c r="D2001" s="6"/>
      <c r="E2001" s="7" t="str">
        <f>IF($G2001="","",INDEX('EDS Lookup'!$F$6:$F$2819,$G2001))</f>
        <v/>
      </c>
      <c r="F2001" s="8" t="str">
        <f>IF($G2001="","",INDEX('EDS Lookup'!$G$6:$G$2819,$G2001))</f>
        <v/>
      </c>
      <c r="G2001" t="str">
        <f>IF(1978&lt;=$B$4,IFERROR(MATCH(1978,'EDS Lookup'!$H$6:$H$2819,0),""),"")</f>
        <v/>
      </c>
      <c r="H2001" t="str">
        <f t="shared" si="30"/>
        <v/>
      </c>
    </row>
    <row r="2002" spans="1:8" ht="19.95" customHeight="1">
      <c r="A2002" s="5" t="str">
        <f>IF($G2002="","",INDEX('EDS Lookup'!$D$6:$D$2819,$G2002))</f>
        <v/>
      </c>
      <c r="B2002" s="5" t="str">
        <f>IF($G2002="","",INDEX('EDS Lookup'!$B$6:$B$2819,$G2002))</f>
        <v/>
      </c>
      <c r="C2002" s="17"/>
      <c r="D2002" s="6"/>
      <c r="E2002" s="7" t="str">
        <f>IF($G2002="","",INDEX('EDS Lookup'!$F$6:$F$2819,$G2002))</f>
        <v/>
      </c>
      <c r="F2002" s="8" t="str">
        <f>IF($G2002="","",INDEX('EDS Lookup'!$G$6:$G$2819,$G2002))</f>
        <v/>
      </c>
      <c r="G2002" t="str">
        <f>IF(1979&lt;=$B$4,IFERROR(MATCH(1979,'EDS Lookup'!$H$6:$H$2819,0),""),"")</f>
        <v/>
      </c>
      <c r="H2002" t="str">
        <f t="shared" si="30"/>
        <v/>
      </c>
    </row>
    <row r="2003" spans="1:8" ht="19.95" customHeight="1">
      <c r="A2003" s="5" t="str">
        <f>IF($G2003="","",INDEX('EDS Lookup'!$D$6:$D$2819,$G2003))</f>
        <v/>
      </c>
      <c r="B2003" s="5" t="str">
        <f>IF($G2003="","",INDEX('EDS Lookup'!$B$6:$B$2819,$G2003))</f>
        <v/>
      </c>
      <c r="C2003" s="17"/>
      <c r="D2003" s="6"/>
      <c r="E2003" s="7" t="str">
        <f>IF($G2003="","",INDEX('EDS Lookup'!$F$6:$F$2819,$G2003))</f>
        <v/>
      </c>
      <c r="F2003" s="8" t="str">
        <f>IF($G2003="","",INDEX('EDS Lookup'!$G$6:$G$2819,$G2003))</f>
        <v/>
      </c>
      <c r="G2003" t="str">
        <f>IF(1980&lt;=$B$4,IFERROR(MATCH(1980,'EDS Lookup'!$H$6:$H$2819,0),""),"")</f>
        <v/>
      </c>
      <c r="H2003" t="str">
        <f t="shared" si="30"/>
        <v/>
      </c>
    </row>
    <row r="2004" spans="1:8" ht="19.95" customHeight="1">
      <c r="A2004" s="5" t="str">
        <f>IF($G2004="","",INDEX('EDS Lookup'!$D$6:$D$2819,$G2004))</f>
        <v/>
      </c>
      <c r="B2004" s="5" t="str">
        <f>IF($G2004="","",INDEX('EDS Lookup'!$B$6:$B$2819,$G2004))</f>
        <v/>
      </c>
      <c r="C2004" s="17"/>
      <c r="D2004" s="6"/>
      <c r="E2004" s="7" t="str">
        <f>IF($G2004="","",INDEX('EDS Lookup'!$F$6:$F$2819,$G2004))</f>
        <v/>
      </c>
      <c r="F2004" s="8" t="str">
        <f>IF($G2004="","",INDEX('EDS Lookup'!$G$6:$G$2819,$G2004))</f>
        <v/>
      </c>
      <c r="G2004" t="str">
        <f>IF(1981&lt;=$B$4,IFERROR(MATCH(1981,'EDS Lookup'!$H$6:$H$2819,0),""),"")</f>
        <v/>
      </c>
      <c r="H2004" t="str">
        <f t="shared" si="30"/>
        <v/>
      </c>
    </row>
    <row r="2005" spans="1:8" ht="19.95" customHeight="1">
      <c r="A2005" s="5" t="str">
        <f>IF($G2005="","",INDEX('EDS Lookup'!$D$6:$D$2819,$G2005))</f>
        <v/>
      </c>
      <c r="B2005" s="5" t="str">
        <f>IF($G2005="","",INDEX('EDS Lookup'!$B$6:$B$2819,$G2005))</f>
        <v/>
      </c>
      <c r="C2005" s="17"/>
      <c r="D2005" s="6"/>
      <c r="E2005" s="7" t="str">
        <f>IF($G2005="","",INDEX('EDS Lookup'!$F$6:$F$2819,$G2005))</f>
        <v/>
      </c>
      <c r="F2005" s="8" t="str">
        <f>IF($G2005="","",INDEX('EDS Lookup'!$G$6:$G$2819,$G2005))</f>
        <v/>
      </c>
      <c r="G2005" t="str">
        <f>IF(1982&lt;=$B$4,IFERROR(MATCH(1982,'EDS Lookup'!$H$6:$H$2819,0),""),"")</f>
        <v/>
      </c>
      <c r="H2005" t="str">
        <f t="shared" si="30"/>
        <v/>
      </c>
    </row>
    <row r="2006" spans="1:8" ht="19.95" customHeight="1">
      <c r="A2006" s="5" t="str">
        <f>IF($G2006="","",INDEX('EDS Lookup'!$D$6:$D$2819,$G2006))</f>
        <v/>
      </c>
      <c r="B2006" s="5" t="str">
        <f>IF($G2006="","",INDEX('EDS Lookup'!$B$6:$B$2819,$G2006))</f>
        <v/>
      </c>
      <c r="C2006" s="17"/>
      <c r="D2006" s="6"/>
      <c r="E2006" s="7" t="str">
        <f>IF($G2006="","",INDEX('EDS Lookup'!$F$6:$F$2819,$G2006))</f>
        <v/>
      </c>
      <c r="F2006" s="8" t="str">
        <f>IF($G2006="","",INDEX('EDS Lookup'!$G$6:$G$2819,$G2006))</f>
        <v/>
      </c>
      <c r="G2006" t="str">
        <f>IF(1983&lt;=$B$4,IFERROR(MATCH(1983,'EDS Lookup'!$H$6:$H$2819,0),""),"")</f>
        <v/>
      </c>
      <c r="H2006" t="str">
        <f t="shared" si="30"/>
        <v/>
      </c>
    </row>
    <row r="2007" spans="1:8" ht="19.95" customHeight="1">
      <c r="A2007" s="5" t="str">
        <f>IF($G2007="","",INDEX('EDS Lookup'!$D$6:$D$2819,$G2007))</f>
        <v/>
      </c>
      <c r="B2007" s="5" t="str">
        <f>IF($G2007="","",INDEX('EDS Lookup'!$B$6:$B$2819,$G2007))</f>
        <v/>
      </c>
      <c r="C2007" s="17"/>
      <c r="D2007" s="6"/>
      <c r="E2007" s="7" t="str">
        <f>IF($G2007="","",INDEX('EDS Lookup'!$F$6:$F$2819,$G2007))</f>
        <v/>
      </c>
      <c r="F2007" s="8" t="str">
        <f>IF($G2007="","",INDEX('EDS Lookup'!$G$6:$G$2819,$G2007))</f>
        <v/>
      </c>
      <c r="G2007" t="str">
        <f>IF(1984&lt;=$B$4,IFERROR(MATCH(1984,'EDS Lookup'!$H$6:$H$2819,0),""),"")</f>
        <v/>
      </c>
      <c r="H2007" t="str">
        <f t="shared" si="30"/>
        <v/>
      </c>
    </row>
    <row r="2008" spans="1:8" ht="19.95" customHeight="1">
      <c r="A2008" s="5" t="str">
        <f>IF($G2008="","",INDEX('EDS Lookup'!$D$6:$D$2819,$G2008))</f>
        <v/>
      </c>
      <c r="B2008" s="5" t="str">
        <f>IF($G2008="","",INDEX('EDS Lookup'!$B$6:$B$2819,$G2008))</f>
        <v/>
      </c>
      <c r="C2008" s="17"/>
      <c r="D2008" s="6"/>
      <c r="E2008" s="7" t="str">
        <f>IF($G2008="","",INDEX('EDS Lookup'!$F$6:$F$2819,$G2008))</f>
        <v/>
      </c>
      <c r="F2008" s="8" t="str">
        <f>IF($G2008="","",INDEX('EDS Lookup'!$G$6:$G$2819,$G2008))</f>
        <v/>
      </c>
      <c r="G2008" t="str">
        <f>IF(1985&lt;=$B$4,IFERROR(MATCH(1985,'EDS Lookup'!$H$6:$H$2819,0),""),"")</f>
        <v/>
      </c>
      <c r="H2008" t="str">
        <f t="shared" ref="H2008:H2071" si="31">IF(F2008="&lt;5",5,IF(F2008="&gt;95",95,IF(ISNUMBER(F2008),F2008,"")))</f>
        <v/>
      </c>
    </row>
    <row r="2009" spans="1:8" ht="19.95" customHeight="1">
      <c r="A2009" s="5" t="str">
        <f>IF($G2009="","",INDEX('EDS Lookup'!$D$6:$D$2819,$G2009))</f>
        <v/>
      </c>
      <c r="B2009" s="5" t="str">
        <f>IF($G2009="","",INDEX('EDS Lookup'!$B$6:$B$2819,$G2009))</f>
        <v/>
      </c>
      <c r="C2009" s="17"/>
      <c r="D2009" s="6"/>
      <c r="E2009" s="7" t="str">
        <f>IF($G2009="","",INDEX('EDS Lookup'!$F$6:$F$2819,$G2009))</f>
        <v/>
      </c>
      <c r="F2009" s="8" t="str">
        <f>IF($G2009="","",INDEX('EDS Lookup'!$G$6:$G$2819,$G2009))</f>
        <v/>
      </c>
      <c r="G2009" t="str">
        <f>IF(1986&lt;=$B$4,IFERROR(MATCH(1986,'EDS Lookup'!$H$6:$H$2819,0),""),"")</f>
        <v/>
      </c>
      <c r="H2009" t="str">
        <f t="shared" si="31"/>
        <v/>
      </c>
    </row>
    <row r="2010" spans="1:8" ht="19.95" customHeight="1">
      <c r="A2010" s="5" t="str">
        <f>IF($G2010="","",INDEX('EDS Lookup'!$D$6:$D$2819,$G2010))</f>
        <v/>
      </c>
      <c r="B2010" s="5" t="str">
        <f>IF($G2010="","",INDEX('EDS Lookup'!$B$6:$B$2819,$G2010))</f>
        <v/>
      </c>
      <c r="C2010" s="17"/>
      <c r="D2010" s="6"/>
      <c r="E2010" s="7" t="str">
        <f>IF($G2010="","",INDEX('EDS Lookup'!$F$6:$F$2819,$G2010))</f>
        <v/>
      </c>
      <c r="F2010" s="8" t="str">
        <f>IF($G2010="","",INDEX('EDS Lookup'!$G$6:$G$2819,$G2010))</f>
        <v/>
      </c>
      <c r="G2010" t="str">
        <f>IF(1987&lt;=$B$4,IFERROR(MATCH(1987,'EDS Lookup'!$H$6:$H$2819,0),""),"")</f>
        <v/>
      </c>
      <c r="H2010" t="str">
        <f t="shared" si="31"/>
        <v/>
      </c>
    </row>
    <row r="2011" spans="1:8" ht="19.95" customHeight="1">
      <c r="A2011" s="5" t="str">
        <f>IF($G2011="","",INDEX('EDS Lookup'!$D$6:$D$2819,$G2011))</f>
        <v/>
      </c>
      <c r="B2011" s="5" t="str">
        <f>IF($G2011="","",INDEX('EDS Lookup'!$B$6:$B$2819,$G2011))</f>
        <v/>
      </c>
      <c r="C2011" s="17"/>
      <c r="D2011" s="6"/>
      <c r="E2011" s="7" t="str">
        <f>IF($G2011="","",INDEX('EDS Lookup'!$F$6:$F$2819,$G2011))</f>
        <v/>
      </c>
      <c r="F2011" s="8" t="str">
        <f>IF($G2011="","",INDEX('EDS Lookup'!$G$6:$G$2819,$G2011))</f>
        <v/>
      </c>
      <c r="G2011" t="str">
        <f>IF(1988&lt;=$B$4,IFERROR(MATCH(1988,'EDS Lookup'!$H$6:$H$2819,0),""),"")</f>
        <v/>
      </c>
      <c r="H2011" t="str">
        <f t="shared" si="31"/>
        <v/>
      </c>
    </row>
    <row r="2012" spans="1:8" ht="19.95" customHeight="1">
      <c r="A2012" s="5" t="str">
        <f>IF($G2012="","",INDEX('EDS Lookup'!$D$6:$D$2819,$G2012))</f>
        <v/>
      </c>
      <c r="B2012" s="5" t="str">
        <f>IF($G2012="","",INDEX('EDS Lookup'!$B$6:$B$2819,$G2012))</f>
        <v/>
      </c>
      <c r="C2012" s="17"/>
      <c r="D2012" s="6"/>
      <c r="E2012" s="7" t="str">
        <f>IF($G2012="","",INDEX('EDS Lookup'!$F$6:$F$2819,$G2012))</f>
        <v/>
      </c>
      <c r="F2012" s="8" t="str">
        <f>IF($G2012="","",INDEX('EDS Lookup'!$G$6:$G$2819,$G2012))</f>
        <v/>
      </c>
      <c r="G2012" t="str">
        <f>IF(1989&lt;=$B$4,IFERROR(MATCH(1989,'EDS Lookup'!$H$6:$H$2819,0),""),"")</f>
        <v/>
      </c>
      <c r="H2012" t="str">
        <f t="shared" si="31"/>
        <v/>
      </c>
    </row>
    <row r="2013" spans="1:8" ht="19.95" customHeight="1">
      <c r="A2013" s="5" t="str">
        <f>IF($G2013="","",INDEX('EDS Lookup'!$D$6:$D$2819,$G2013))</f>
        <v/>
      </c>
      <c r="B2013" s="5" t="str">
        <f>IF($G2013="","",INDEX('EDS Lookup'!$B$6:$B$2819,$G2013))</f>
        <v/>
      </c>
      <c r="C2013" s="17"/>
      <c r="D2013" s="6"/>
      <c r="E2013" s="7" t="str">
        <f>IF($G2013="","",INDEX('EDS Lookup'!$F$6:$F$2819,$G2013))</f>
        <v/>
      </c>
      <c r="F2013" s="8" t="str">
        <f>IF($G2013="","",INDEX('EDS Lookup'!$G$6:$G$2819,$G2013))</f>
        <v/>
      </c>
      <c r="G2013" t="str">
        <f>IF(1990&lt;=$B$4,IFERROR(MATCH(1990,'EDS Lookup'!$H$6:$H$2819,0),""),"")</f>
        <v/>
      </c>
      <c r="H2013" t="str">
        <f t="shared" si="31"/>
        <v/>
      </c>
    </row>
    <row r="2014" spans="1:8" ht="19.95" customHeight="1">
      <c r="A2014" s="5" t="str">
        <f>IF($G2014="","",INDEX('EDS Lookup'!$D$6:$D$2819,$G2014))</f>
        <v/>
      </c>
      <c r="B2014" s="5" t="str">
        <f>IF($G2014="","",INDEX('EDS Lookup'!$B$6:$B$2819,$G2014))</f>
        <v/>
      </c>
      <c r="C2014" s="17"/>
      <c r="D2014" s="6"/>
      <c r="E2014" s="7" t="str">
        <f>IF($G2014="","",INDEX('EDS Lookup'!$F$6:$F$2819,$G2014))</f>
        <v/>
      </c>
      <c r="F2014" s="8" t="str">
        <f>IF($G2014="","",INDEX('EDS Lookup'!$G$6:$G$2819,$G2014))</f>
        <v/>
      </c>
      <c r="G2014" t="str">
        <f>IF(1991&lt;=$B$4,IFERROR(MATCH(1991,'EDS Lookup'!$H$6:$H$2819,0),""),"")</f>
        <v/>
      </c>
      <c r="H2014" t="str">
        <f t="shared" si="31"/>
        <v/>
      </c>
    </row>
    <row r="2015" spans="1:8" ht="19.95" customHeight="1">
      <c r="A2015" s="5" t="str">
        <f>IF($G2015="","",INDEX('EDS Lookup'!$D$6:$D$2819,$G2015))</f>
        <v/>
      </c>
      <c r="B2015" s="5" t="str">
        <f>IF($G2015="","",INDEX('EDS Lookup'!$B$6:$B$2819,$G2015))</f>
        <v/>
      </c>
      <c r="C2015" s="17"/>
      <c r="D2015" s="6"/>
      <c r="E2015" s="7" t="str">
        <f>IF($G2015="","",INDEX('EDS Lookup'!$F$6:$F$2819,$G2015))</f>
        <v/>
      </c>
      <c r="F2015" s="8" t="str">
        <f>IF($G2015="","",INDEX('EDS Lookup'!$G$6:$G$2819,$G2015))</f>
        <v/>
      </c>
      <c r="G2015" t="str">
        <f>IF(1992&lt;=$B$4,IFERROR(MATCH(1992,'EDS Lookup'!$H$6:$H$2819,0),""),"")</f>
        <v/>
      </c>
      <c r="H2015" t="str">
        <f t="shared" si="31"/>
        <v/>
      </c>
    </row>
    <row r="2016" spans="1:8" ht="19.95" customHeight="1">
      <c r="A2016" s="5" t="str">
        <f>IF($G2016="","",INDEX('EDS Lookup'!$D$6:$D$2819,$G2016))</f>
        <v/>
      </c>
      <c r="B2016" s="5" t="str">
        <f>IF($G2016="","",INDEX('EDS Lookup'!$B$6:$B$2819,$G2016))</f>
        <v/>
      </c>
      <c r="C2016" s="17"/>
      <c r="D2016" s="6"/>
      <c r="E2016" s="7" t="str">
        <f>IF($G2016="","",INDEX('EDS Lookup'!$F$6:$F$2819,$G2016))</f>
        <v/>
      </c>
      <c r="F2016" s="8" t="str">
        <f>IF($G2016="","",INDEX('EDS Lookup'!$G$6:$G$2819,$G2016))</f>
        <v/>
      </c>
      <c r="G2016" t="str">
        <f>IF(1993&lt;=$B$4,IFERROR(MATCH(1993,'EDS Lookup'!$H$6:$H$2819,0),""),"")</f>
        <v/>
      </c>
      <c r="H2016" t="str">
        <f t="shared" si="31"/>
        <v/>
      </c>
    </row>
    <row r="2017" spans="1:8" ht="19.95" customHeight="1">
      <c r="A2017" s="5" t="str">
        <f>IF($G2017="","",INDEX('EDS Lookup'!$D$6:$D$2819,$G2017))</f>
        <v/>
      </c>
      <c r="B2017" s="5" t="str">
        <f>IF($G2017="","",INDEX('EDS Lookup'!$B$6:$B$2819,$G2017))</f>
        <v/>
      </c>
      <c r="C2017" s="17"/>
      <c r="D2017" s="6"/>
      <c r="E2017" s="7" t="str">
        <f>IF($G2017="","",INDEX('EDS Lookup'!$F$6:$F$2819,$G2017))</f>
        <v/>
      </c>
      <c r="F2017" s="8" t="str">
        <f>IF($G2017="","",INDEX('EDS Lookup'!$G$6:$G$2819,$G2017))</f>
        <v/>
      </c>
      <c r="G2017" t="str">
        <f>IF(1994&lt;=$B$4,IFERROR(MATCH(1994,'EDS Lookup'!$H$6:$H$2819,0),""),"")</f>
        <v/>
      </c>
      <c r="H2017" t="str">
        <f t="shared" si="31"/>
        <v/>
      </c>
    </row>
    <row r="2018" spans="1:8" ht="19.95" customHeight="1">
      <c r="A2018" s="5" t="str">
        <f>IF($G2018="","",INDEX('EDS Lookup'!$D$6:$D$2819,$G2018))</f>
        <v/>
      </c>
      <c r="B2018" s="5" t="str">
        <f>IF($G2018="","",INDEX('EDS Lookup'!$B$6:$B$2819,$G2018))</f>
        <v/>
      </c>
      <c r="C2018" s="17"/>
      <c r="D2018" s="6"/>
      <c r="E2018" s="7" t="str">
        <f>IF($G2018="","",INDEX('EDS Lookup'!$F$6:$F$2819,$G2018))</f>
        <v/>
      </c>
      <c r="F2018" s="8" t="str">
        <f>IF($G2018="","",INDEX('EDS Lookup'!$G$6:$G$2819,$G2018))</f>
        <v/>
      </c>
      <c r="G2018" t="str">
        <f>IF(1995&lt;=$B$4,IFERROR(MATCH(1995,'EDS Lookup'!$H$6:$H$2819,0),""),"")</f>
        <v/>
      </c>
      <c r="H2018" t="str">
        <f t="shared" si="31"/>
        <v/>
      </c>
    </row>
    <row r="2019" spans="1:8" ht="19.95" customHeight="1">
      <c r="A2019" s="5" t="str">
        <f>IF($G2019="","",INDEX('EDS Lookup'!$D$6:$D$2819,$G2019))</f>
        <v/>
      </c>
      <c r="B2019" s="5" t="str">
        <f>IF($G2019="","",INDEX('EDS Lookup'!$B$6:$B$2819,$G2019))</f>
        <v/>
      </c>
      <c r="C2019" s="17"/>
      <c r="D2019" s="6"/>
      <c r="E2019" s="7" t="str">
        <f>IF($G2019="","",INDEX('EDS Lookup'!$F$6:$F$2819,$G2019))</f>
        <v/>
      </c>
      <c r="F2019" s="8" t="str">
        <f>IF($G2019="","",INDEX('EDS Lookup'!$G$6:$G$2819,$G2019))</f>
        <v/>
      </c>
      <c r="G2019" t="str">
        <f>IF(1996&lt;=$B$4,IFERROR(MATCH(1996,'EDS Lookup'!$H$6:$H$2819,0),""),"")</f>
        <v/>
      </c>
      <c r="H2019" t="str">
        <f t="shared" si="31"/>
        <v/>
      </c>
    </row>
    <row r="2020" spans="1:8" ht="19.95" customHeight="1">
      <c r="A2020" s="5" t="str">
        <f>IF($G2020="","",INDEX('EDS Lookup'!$D$6:$D$2819,$G2020))</f>
        <v/>
      </c>
      <c r="B2020" s="5" t="str">
        <f>IF($G2020="","",INDEX('EDS Lookup'!$B$6:$B$2819,$G2020))</f>
        <v/>
      </c>
      <c r="C2020" s="17"/>
      <c r="D2020" s="6"/>
      <c r="E2020" s="7" t="str">
        <f>IF($G2020="","",INDEX('EDS Lookup'!$F$6:$F$2819,$G2020))</f>
        <v/>
      </c>
      <c r="F2020" s="8" t="str">
        <f>IF($G2020="","",INDEX('EDS Lookup'!$G$6:$G$2819,$G2020))</f>
        <v/>
      </c>
      <c r="G2020" t="str">
        <f>IF(1997&lt;=$B$4,IFERROR(MATCH(1997,'EDS Lookup'!$H$6:$H$2819,0),""),"")</f>
        <v/>
      </c>
      <c r="H2020" t="str">
        <f t="shared" si="31"/>
        <v/>
      </c>
    </row>
    <row r="2021" spans="1:8" ht="19.95" customHeight="1">
      <c r="A2021" s="5" t="str">
        <f>IF($G2021="","",INDEX('EDS Lookup'!$D$6:$D$2819,$G2021))</f>
        <v/>
      </c>
      <c r="B2021" s="5" t="str">
        <f>IF($G2021="","",INDEX('EDS Lookup'!$B$6:$B$2819,$G2021))</f>
        <v/>
      </c>
      <c r="C2021" s="17"/>
      <c r="D2021" s="6"/>
      <c r="E2021" s="7" t="str">
        <f>IF($G2021="","",INDEX('EDS Lookup'!$F$6:$F$2819,$G2021))</f>
        <v/>
      </c>
      <c r="F2021" s="8" t="str">
        <f>IF($G2021="","",INDEX('EDS Lookup'!$G$6:$G$2819,$G2021))</f>
        <v/>
      </c>
      <c r="G2021" t="str">
        <f>IF(1998&lt;=$B$4,IFERROR(MATCH(1998,'EDS Lookup'!$H$6:$H$2819,0),""),"")</f>
        <v/>
      </c>
      <c r="H2021" t="str">
        <f t="shared" si="31"/>
        <v/>
      </c>
    </row>
    <row r="2022" spans="1:8" ht="19.95" customHeight="1">
      <c r="A2022" s="5" t="str">
        <f>IF($G2022="","",INDEX('EDS Lookup'!$D$6:$D$2819,$G2022))</f>
        <v/>
      </c>
      <c r="B2022" s="5" t="str">
        <f>IF($G2022="","",INDEX('EDS Lookup'!$B$6:$B$2819,$G2022))</f>
        <v/>
      </c>
      <c r="C2022" s="17"/>
      <c r="D2022" s="6"/>
      <c r="E2022" s="7" t="str">
        <f>IF($G2022="","",INDEX('EDS Lookup'!$F$6:$F$2819,$G2022))</f>
        <v/>
      </c>
      <c r="F2022" s="8" t="str">
        <f>IF($G2022="","",INDEX('EDS Lookup'!$G$6:$G$2819,$G2022))</f>
        <v/>
      </c>
      <c r="G2022" t="str">
        <f>IF(1999&lt;=$B$4,IFERROR(MATCH(1999,'EDS Lookup'!$H$6:$H$2819,0),""),"")</f>
        <v/>
      </c>
      <c r="H2022" t="str">
        <f t="shared" si="31"/>
        <v/>
      </c>
    </row>
    <row r="2023" spans="1:8" ht="19.95" customHeight="1">
      <c r="A2023" s="5" t="str">
        <f>IF($G2023="","",INDEX('EDS Lookup'!$D$6:$D$2819,$G2023))</f>
        <v/>
      </c>
      <c r="B2023" s="5" t="str">
        <f>IF($G2023="","",INDEX('EDS Lookup'!$B$6:$B$2819,$G2023))</f>
        <v/>
      </c>
      <c r="C2023" s="17"/>
      <c r="D2023" s="6"/>
      <c r="E2023" s="7" t="str">
        <f>IF($G2023="","",INDEX('EDS Lookup'!$F$6:$F$2819,$G2023))</f>
        <v/>
      </c>
      <c r="F2023" s="8" t="str">
        <f>IF($G2023="","",INDEX('EDS Lookup'!$G$6:$G$2819,$G2023))</f>
        <v/>
      </c>
      <c r="G2023" t="str">
        <f>IF(2000&lt;=$B$4,IFERROR(MATCH(2000,'EDS Lookup'!$H$6:$H$2819,0),""),"")</f>
        <v/>
      </c>
      <c r="H2023" t="str">
        <f t="shared" si="31"/>
        <v/>
      </c>
    </row>
    <row r="2024" spans="1:8" ht="19.95" customHeight="1">
      <c r="A2024" s="5" t="str">
        <f>IF($G2024="","",INDEX('EDS Lookup'!$D$6:$D$2819,$G2024))</f>
        <v/>
      </c>
      <c r="B2024" s="5" t="str">
        <f>IF($G2024="","",INDEX('EDS Lookup'!$B$6:$B$2819,$G2024))</f>
        <v/>
      </c>
      <c r="C2024" s="17"/>
      <c r="D2024" s="6"/>
      <c r="E2024" s="7" t="str">
        <f>IF($G2024="","",INDEX('EDS Lookup'!$F$6:$F$2819,$G2024))</f>
        <v/>
      </c>
      <c r="F2024" s="8" t="str">
        <f>IF($G2024="","",INDEX('EDS Lookup'!$G$6:$G$2819,$G2024))</f>
        <v/>
      </c>
      <c r="G2024" t="str">
        <f>IF(2001&lt;=$B$4,IFERROR(MATCH(2001,'EDS Lookup'!$H$6:$H$2819,0),""),"")</f>
        <v/>
      </c>
      <c r="H2024" t="str">
        <f t="shared" si="31"/>
        <v/>
      </c>
    </row>
    <row r="2025" spans="1:8" ht="19.95" customHeight="1">
      <c r="A2025" s="5" t="str">
        <f>IF($G2025="","",INDEX('EDS Lookup'!$D$6:$D$2819,$G2025))</f>
        <v/>
      </c>
      <c r="B2025" s="5" t="str">
        <f>IF($G2025="","",INDEX('EDS Lookup'!$B$6:$B$2819,$G2025))</f>
        <v/>
      </c>
      <c r="C2025" s="17"/>
      <c r="D2025" s="6"/>
      <c r="E2025" s="7" t="str">
        <f>IF($G2025="","",INDEX('EDS Lookup'!$F$6:$F$2819,$G2025))</f>
        <v/>
      </c>
      <c r="F2025" s="8" t="str">
        <f>IF($G2025="","",INDEX('EDS Lookup'!$G$6:$G$2819,$G2025))</f>
        <v/>
      </c>
      <c r="G2025" t="str">
        <f>IF(2002&lt;=$B$4,IFERROR(MATCH(2002,'EDS Lookup'!$H$6:$H$2819,0),""),"")</f>
        <v/>
      </c>
      <c r="H2025" t="str">
        <f t="shared" si="31"/>
        <v/>
      </c>
    </row>
    <row r="2026" spans="1:8" ht="19.95" customHeight="1">
      <c r="A2026" s="5" t="str">
        <f>IF($G2026="","",INDEX('EDS Lookup'!$D$6:$D$2819,$G2026))</f>
        <v/>
      </c>
      <c r="B2026" s="5" t="str">
        <f>IF($G2026="","",INDEX('EDS Lookup'!$B$6:$B$2819,$G2026))</f>
        <v/>
      </c>
      <c r="C2026" s="17"/>
      <c r="D2026" s="6"/>
      <c r="E2026" s="7" t="str">
        <f>IF($G2026="","",INDEX('EDS Lookup'!$F$6:$F$2819,$G2026))</f>
        <v/>
      </c>
      <c r="F2026" s="8" t="str">
        <f>IF($G2026="","",INDEX('EDS Lookup'!$G$6:$G$2819,$G2026))</f>
        <v/>
      </c>
      <c r="G2026" t="str">
        <f>IF(2003&lt;=$B$4,IFERROR(MATCH(2003,'EDS Lookup'!$H$6:$H$2819,0),""),"")</f>
        <v/>
      </c>
      <c r="H2026" t="str">
        <f t="shared" si="31"/>
        <v/>
      </c>
    </row>
    <row r="2027" spans="1:8" ht="19.95" customHeight="1">
      <c r="A2027" s="5" t="str">
        <f>IF($G2027="","",INDEX('EDS Lookup'!$D$6:$D$2819,$G2027))</f>
        <v/>
      </c>
      <c r="B2027" s="5" t="str">
        <f>IF($G2027="","",INDEX('EDS Lookup'!$B$6:$B$2819,$G2027))</f>
        <v/>
      </c>
      <c r="C2027" s="17"/>
      <c r="D2027" s="6"/>
      <c r="E2027" s="7" t="str">
        <f>IF($G2027="","",INDEX('EDS Lookup'!$F$6:$F$2819,$G2027))</f>
        <v/>
      </c>
      <c r="F2027" s="8" t="str">
        <f>IF($G2027="","",INDEX('EDS Lookup'!$G$6:$G$2819,$G2027))</f>
        <v/>
      </c>
      <c r="G2027" t="str">
        <f>IF(2004&lt;=$B$4,IFERROR(MATCH(2004,'EDS Lookup'!$H$6:$H$2819,0),""),"")</f>
        <v/>
      </c>
      <c r="H2027" t="str">
        <f t="shared" si="31"/>
        <v/>
      </c>
    </row>
    <row r="2028" spans="1:8" ht="19.95" customHeight="1">
      <c r="A2028" s="5" t="str">
        <f>IF($G2028="","",INDEX('EDS Lookup'!$D$6:$D$2819,$G2028))</f>
        <v/>
      </c>
      <c r="B2028" s="5" t="str">
        <f>IF($G2028="","",INDEX('EDS Lookup'!$B$6:$B$2819,$G2028))</f>
        <v/>
      </c>
      <c r="C2028" s="17"/>
      <c r="D2028" s="6"/>
      <c r="E2028" s="7" t="str">
        <f>IF($G2028="","",INDEX('EDS Lookup'!$F$6:$F$2819,$G2028))</f>
        <v/>
      </c>
      <c r="F2028" s="8" t="str">
        <f>IF($G2028="","",INDEX('EDS Lookup'!$G$6:$G$2819,$G2028))</f>
        <v/>
      </c>
      <c r="G2028" t="str">
        <f>IF(2005&lt;=$B$4,IFERROR(MATCH(2005,'EDS Lookup'!$H$6:$H$2819,0),""),"")</f>
        <v/>
      </c>
      <c r="H2028" t="str">
        <f t="shared" si="31"/>
        <v/>
      </c>
    </row>
    <row r="2029" spans="1:8" ht="19.95" customHeight="1">
      <c r="A2029" s="5" t="str">
        <f>IF($G2029="","",INDEX('EDS Lookup'!$D$6:$D$2819,$G2029))</f>
        <v/>
      </c>
      <c r="B2029" s="5" t="str">
        <f>IF($G2029="","",INDEX('EDS Lookup'!$B$6:$B$2819,$G2029))</f>
        <v/>
      </c>
      <c r="C2029" s="17"/>
      <c r="D2029" s="6"/>
      <c r="E2029" s="7" t="str">
        <f>IF($G2029="","",INDEX('EDS Lookup'!$F$6:$F$2819,$G2029))</f>
        <v/>
      </c>
      <c r="F2029" s="8" t="str">
        <f>IF($G2029="","",INDEX('EDS Lookup'!$G$6:$G$2819,$G2029))</f>
        <v/>
      </c>
      <c r="G2029" t="str">
        <f>IF(2006&lt;=$B$4,IFERROR(MATCH(2006,'EDS Lookup'!$H$6:$H$2819,0),""),"")</f>
        <v/>
      </c>
      <c r="H2029" t="str">
        <f t="shared" si="31"/>
        <v/>
      </c>
    </row>
    <row r="2030" spans="1:8" ht="19.95" customHeight="1">
      <c r="A2030" s="5" t="str">
        <f>IF($G2030="","",INDEX('EDS Lookup'!$D$6:$D$2819,$G2030))</f>
        <v/>
      </c>
      <c r="B2030" s="5" t="str">
        <f>IF($G2030="","",INDEX('EDS Lookup'!$B$6:$B$2819,$G2030))</f>
        <v/>
      </c>
      <c r="C2030" s="17"/>
      <c r="D2030" s="6"/>
      <c r="E2030" s="7" t="str">
        <f>IF($G2030="","",INDEX('EDS Lookup'!$F$6:$F$2819,$G2030))</f>
        <v/>
      </c>
      <c r="F2030" s="8" t="str">
        <f>IF($G2030="","",INDEX('EDS Lookup'!$G$6:$G$2819,$G2030))</f>
        <v/>
      </c>
      <c r="G2030" t="str">
        <f>IF(2007&lt;=$B$4,IFERROR(MATCH(2007,'EDS Lookup'!$H$6:$H$2819,0),""),"")</f>
        <v/>
      </c>
      <c r="H2030" t="str">
        <f t="shared" si="31"/>
        <v/>
      </c>
    </row>
    <row r="2031" spans="1:8" ht="19.95" customHeight="1">
      <c r="A2031" s="5" t="str">
        <f>IF($G2031="","",INDEX('EDS Lookup'!$D$6:$D$2819,$G2031))</f>
        <v/>
      </c>
      <c r="B2031" s="5" t="str">
        <f>IF($G2031="","",INDEX('EDS Lookup'!$B$6:$B$2819,$G2031))</f>
        <v/>
      </c>
      <c r="C2031" s="17"/>
      <c r="D2031" s="6"/>
      <c r="E2031" s="7" t="str">
        <f>IF($G2031="","",INDEX('EDS Lookup'!$F$6:$F$2819,$G2031))</f>
        <v/>
      </c>
      <c r="F2031" s="8" t="str">
        <f>IF($G2031="","",INDEX('EDS Lookup'!$G$6:$G$2819,$G2031))</f>
        <v/>
      </c>
      <c r="G2031" t="str">
        <f>IF(2008&lt;=$B$4,IFERROR(MATCH(2008,'EDS Lookup'!$H$6:$H$2819,0),""),"")</f>
        <v/>
      </c>
      <c r="H2031" t="str">
        <f t="shared" si="31"/>
        <v/>
      </c>
    </row>
    <row r="2032" spans="1:8" ht="19.95" customHeight="1">
      <c r="A2032" s="5" t="str">
        <f>IF($G2032="","",INDEX('EDS Lookup'!$D$6:$D$2819,$G2032))</f>
        <v/>
      </c>
      <c r="B2032" s="5" t="str">
        <f>IF($G2032="","",INDEX('EDS Lookup'!$B$6:$B$2819,$G2032))</f>
        <v/>
      </c>
      <c r="C2032" s="17"/>
      <c r="D2032" s="6"/>
      <c r="E2032" s="7" t="str">
        <f>IF($G2032="","",INDEX('EDS Lookup'!$F$6:$F$2819,$G2032))</f>
        <v/>
      </c>
      <c r="F2032" s="8" t="str">
        <f>IF($G2032="","",INDEX('EDS Lookup'!$G$6:$G$2819,$G2032))</f>
        <v/>
      </c>
      <c r="G2032" t="str">
        <f>IF(2009&lt;=$B$4,IFERROR(MATCH(2009,'EDS Lookup'!$H$6:$H$2819,0),""),"")</f>
        <v/>
      </c>
      <c r="H2032" t="str">
        <f t="shared" si="31"/>
        <v/>
      </c>
    </row>
    <row r="2033" spans="1:8" ht="19.95" customHeight="1">
      <c r="A2033" s="5" t="str">
        <f>IF($G2033="","",INDEX('EDS Lookup'!$D$6:$D$2819,$G2033))</f>
        <v/>
      </c>
      <c r="B2033" s="5" t="str">
        <f>IF($G2033="","",INDEX('EDS Lookup'!$B$6:$B$2819,$G2033))</f>
        <v/>
      </c>
      <c r="C2033" s="17"/>
      <c r="D2033" s="6"/>
      <c r="E2033" s="7" t="str">
        <f>IF($G2033="","",INDEX('EDS Lookup'!$F$6:$F$2819,$G2033))</f>
        <v/>
      </c>
      <c r="F2033" s="8" t="str">
        <f>IF($G2033="","",INDEX('EDS Lookup'!$G$6:$G$2819,$G2033))</f>
        <v/>
      </c>
      <c r="G2033" t="str">
        <f>IF(2010&lt;=$B$4,IFERROR(MATCH(2010,'EDS Lookup'!$H$6:$H$2819,0),""),"")</f>
        <v/>
      </c>
      <c r="H2033" t="str">
        <f t="shared" si="31"/>
        <v/>
      </c>
    </row>
    <row r="2034" spans="1:8" ht="19.95" customHeight="1">
      <c r="A2034" s="5" t="str">
        <f>IF($G2034="","",INDEX('EDS Lookup'!$D$6:$D$2819,$G2034))</f>
        <v/>
      </c>
      <c r="B2034" s="5" t="str">
        <f>IF($G2034="","",INDEX('EDS Lookup'!$B$6:$B$2819,$G2034))</f>
        <v/>
      </c>
      <c r="C2034" s="17"/>
      <c r="D2034" s="6"/>
      <c r="E2034" s="7" t="str">
        <f>IF($G2034="","",INDEX('EDS Lookup'!$F$6:$F$2819,$G2034))</f>
        <v/>
      </c>
      <c r="F2034" s="8" t="str">
        <f>IF($G2034="","",INDEX('EDS Lookup'!$G$6:$G$2819,$G2034))</f>
        <v/>
      </c>
      <c r="G2034" t="str">
        <f>IF(2011&lt;=$B$4,IFERROR(MATCH(2011,'EDS Lookup'!$H$6:$H$2819,0),""),"")</f>
        <v/>
      </c>
      <c r="H2034" t="str">
        <f t="shared" si="31"/>
        <v/>
      </c>
    </row>
    <row r="2035" spans="1:8" ht="19.95" customHeight="1">
      <c r="A2035" s="5" t="str">
        <f>IF($G2035="","",INDEX('EDS Lookup'!$D$6:$D$2819,$G2035))</f>
        <v/>
      </c>
      <c r="B2035" s="5" t="str">
        <f>IF($G2035="","",INDEX('EDS Lookup'!$B$6:$B$2819,$G2035))</f>
        <v/>
      </c>
      <c r="C2035" s="17"/>
      <c r="D2035" s="6"/>
      <c r="E2035" s="7" t="str">
        <f>IF($G2035="","",INDEX('EDS Lookup'!$F$6:$F$2819,$G2035))</f>
        <v/>
      </c>
      <c r="F2035" s="8" t="str">
        <f>IF($G2035="","",INDEX('EDS Lookup'!$G$6:$G$2819,$G2035))</f>
        <v/>
      </c>
      <c r="G2035" t="str">
        <f>IF(2012&lt;=$B$4,IFERROR(MATCH(2012,'EDS Lookup'!$H$6:$H$2819,0),""),"")</f>
        <v/>
      </c>
      <c r="H2035" t="str">
        <f t="shared" si="31"/>
        <v/>
      </c>
    </row>
    <row r="2036" spans="1:8" ht="19.95" customHeight="1">
      <c r="A2036" s="5" t="str">
        <f>IF($G2036="","",INDEX('EDS Lookup'!$D$6:$D$2819,$G2036))</f>
        <v/>
      </c>
      <c r="B2036" s="5" t="str">
        <f>IF($G2036="","",INDEX('EDS Lookup'!$B$6:$B$2819,$G2036))</f>
        <v/>
      </c>
      <c r="C2036" s="17"/>
      <c r="D2036" s="6"/>
      <c r="E2036" s="7" t="str">
        <f>IF($G2036="","",INDEX('EDS Lookup'!$F$6:$F$2819,$G2036))</f>
        <v/>
      </c>
      <c r="F2036" s="8" t="str">
        <f>IF($G2036="","",INDEX('EDS Lookup'!$G$6:$G$2819,$G2036))</f>
        <v/>
      </c>
      <c r="G2036" t="str">
        <f>IF(2013&lt;=$B$4,IFERROR(MATCH(2013,'EDS Lookup'!$H$6:$H$2819,0),""),"")</f>
        <v/>
      </c>
      <c r="H2036" t="str">
        <f t="shared" si="31"/>
        <v/>
      </c>
    </row>
    <row r="2037" spans="1:8" ht="19.95" customHeight="1">
      <c r="A2037" s="5" t="str">
        <f>IF($G2037="","",INDEX('EDS Lookup'!$D$6:$D$2819,$G2037))</f>
        <v/>
      </c>
      <c r="B2037" s="5" t="str">
        <f>IF($G2037="","",INDEX('EDS Lookup'!$B$6:$B$2819,$G2037))</f>
        <v/>
      </c>
      <c r="C2037" s="17"/>
      <c r="D2037" s="6"/>
      <c r="E2037" s="7" t="str">
        <f>IF($G2037="","",INDEX('EDS Lookup'!$F$6:$F$2819,$G2037))</f>
        <v/>
      </c>
      <c r="F2037" s="8" t="str">
        <f>IF($G2037="","",INDEX('EDS Lookup'!$G$6:$G$2819,$G2037))</f>
        <v/>
      </c>
      <c r="G2037" t="str">
        <f>IF(2014&lt;=$B$4,IFERROR(MATCH(2014,'EDS Lookup'!$H$6:$H$2819,0),""),"")</f>
        <v/>
      </c>
      <c r="H2037" t="str">
        <f t="shared" si="31"/>
        <v/>
      </c>
    </row>
    <row r="2038" spans="1:8" ht="19.95" customHeight="1">
      <c r="A2038" s="5" t="str">
        <f>IF($G2038="","",INDEX('EDS Lookup'!$D$6:$D$2819,$G2038))</f>
        <v/>
      </c>
      <c r="B2038" s="5" t="str">
        <f>IF($G2038="","",INDEX('EDS Lookup'!$B$6:$B$2819,$G2038))</f>
        <v/>
      </c>
      <c r="C2038" s="17"/>
      <c r="D2038" s="6"/>
      <c r="E2038" s="7" t="str">
        <f>IF($G2038="","",INDEX('EDS Lookup'!$F$6:$F$2819,$G2038))</f>
        <v/>
      </c>
      <c r="F2038" s="8" t="str">
        <f>IF($G2038="","",INDEX('EDS Lookup'!$G$6:$G$2819,$G2038))</f>
        <v/>
      </c>
      <c r="G2038" t="str">
        <f>IF(2015&lt;=$B$4,IFERROR(MATCH(2015,'EDS Lookup'!$H$6:$H$2819,0),""),"")</f>
        <v/>
      </c>
      <c r="H2038" t="str">
        <f t="shared" si="31"/>
        <v/>
      </c>
    </row>
    <row r="2039" spans="1:8" ht="19.95" customHeight="1">
      <c r="A2039" s="5" t="str">
        <f>IF($G2039="","",INDEX('EDS Lookup'!$D$6:$D$2819,$G2039))</f>
        <v/>
      </c>
      <c r="B2039" s="5" t="str">
        <f>IF($G2039="","",INDEX('EDS Lookup'!$B$6:$B$2819,$G2039))</f>
        <v/>
      </c>
      <c r="C2039" s="17"/>
      <c r="D2039" s="6"/>
      <c r="E2039" s="7" t="str">
        <f>IF($G2039="","",INDEX('EDS Lookup'!$F$6:$F$2819,$G2039))</f>
        <v/>
      </c>
      <c r="F2039" s="8" t="str">
        <f>IF($G2039="","",INDEX('EDS Lookup'!$G$6:$G$2819,$G2039))</f>
        <v/>
      </c>
      <c r="G2039" t="str">
        <f>IF(2016&lt;=$B$4,IFERROR(MATCH(2016,'EDS Lookup'!$H$6:$H$2819,0),""),"")</f>
        <v/>
      </c>
      <c r="H2039" t="str">
        <f t="shared" si="31"/>
        <v/>
      </c>
    </row>
    <row r="2040" spans="1:8" ht="19.95" customHeight="1">
      <c r="A2040" s="5" t="str">
        <f>IF($G2040="","",INDEX('EDS Lookup'!$D$6:$D$2819,$G2040))</f>
        <v/>
      </c>
      <c r="B2040" s="5" t="str">
        <f>IF($G2040="","",INDEX('EDS Lookup'!$B$6:$B$2819,$G2040))</f>
        <v/>
      </c>
      <c r="C2040" s="17"/>
      <c r="D2040" s="6"/>
      <c r="E2040" s="7" t="str">
        <f>IF($G2040="","",INDEX('EDS Lookup'!$F$6:$F$2819,$G2040))</f>
        <v/>
      </c>
      <c r="F2040" s="8" t="str">
        <f>IF($G2040="","",INDEX('EDS Lookup'!$G$6:$G$2819,$G2040))</f>
        <v/>
      </c>
      <c r="G2040" t="str">
        <f>IF(2017&lt;=$B$4,IFERROR(MATCH(2017,'EDS Lookup'!$H$6:$H$2819,0),""),"")</f>
        <v/>
      </c>
      <c r="H2040" t="str">
        <f t="shared" si="31"/>
        <v/>
      </c>
    </row>
    <row r="2041" spans="1:8" ht="19.95" customHeight="1">
      <c r="A2041" s="5" t="str">
        <f>IF($G2041="","",INDEX('EDS Lookup'!$D$6:$D$2819,$G2041))</f>
        <v/>
      </c>
      <c r="B2041" s="5" t="str">
        <f>IF($G2041="","",INDEX('EDS Lookup'!$B$6:$B$2819,$G2041))</f>
        <v/>
      </c>
      <c r="C2041" s="17"/>
      <c r="D2041" s="6"/>
      <c r="E2041" s="7" t="str">
        <f>IF($G2041="","",INDEX('EDS Lookup'!$F$6:$F$2819,$G2041))</f>
        <v/>
      </c>
      <c r="F2041" s="8" t="str">
        <f>IF($G2041="","",INDEX('EDS Lookup'!$G$6:$G$2819,$G2041))</f>
        <v/>
      </c>
      <c r="G2041" t="str">
        <f>IF(2018&lt;=$B$4,IFERROR(MATCH(2018,'EDS Lookup'!$H$6:$H$2819,0),""),"")</f>
        <v/>
      </c>
      <c r="H2041" t="str">
        <f t="shared" si="31"/>
        <v/>
      </c>
    </row>
    <row r="2042" spans="1:8" ht="19.95" customHeight="1">
      <c r="A2042" s="5" t="str">
        <f>IF($G2042="","",INDEX('EDS Lookup'!$D$6:$D$2819,$G2042))</f>
        <v/>
      </c>
      <c r="B2042" s="5" t="str">
        <f>IF($G2042="","",INDEX('EDS Lookup'!$B$6:$B$2819,$G2042))</f>
        <v/>
      </c>
      <c r="C2042" s="17"/>
      <c r="D2042" s="6"/>
      <c r="E2042" s="7" t="str">
        <f>IF($G2042="","",INDEX('EDS Lookup'!$F$6:$F$2819,$G2042))</f>
        <v/>
      </c>
      <c r="F2042" s="8" t="str">
        <f>IF($G2042="","",INDEX('EDS Lookup'!$G$6:$G$2819,$G2042))</f>
        <v/>
      </c>
      <c r="G2042" t="str">
        <f>IF(2019&lt;=$B$4,IFERROR(MATCH(2019,'EDS Lookup'!$H$6:$H$2819,0),""),"")</f>
        <v/>
      </c>
      <c r="H2042" t="str">
        <f t="shared" si="31"/>
        <v/>
      </c>
    </row>
    <row r="2043" spans="1:8" ht="19.95" customHeight="1">
      <c r="A2043" s="5" t="str">
        <f>IF($G2043="","",INDEX('EDS Lookup'!$D$6:$D$2819,$G2043))</f>
        <v/>
      </c>
      <c r="B2043" s="5" t="str">
        <f>IF($G2043="","",INDEX('EDS Lookup'!$B$6:$B$2819,$G2043))</f>
        <v/>
      </c>
      <c r="C2043" s="17"/>
      <c r="D2043" s="6"/>
      <c r="E2043" s="7" t="str">
        <f>IF($G2043="","",INDEX('EDS Lookup'!$F$6:$F$2819,$G2043))</f>
        <v/>
      </c>
      <c r="F2043" s="8" t="str">
        <f>IF($G2043="","",INDEX('EDS Lookup'!$G$6:$G$2819,$G2043))</f>
        <v/>
      </c>
      <c r="G2043" t="str">
        <f>IF(2020&lt;=$B$4,IFERROR(MATCH(2020,'EDS Lookup'!$H$6:$H$2819,0),""),"")</f>
        <v/>
      </c>
      <c r="H2043" t="str">
        <f t="shared" si="31"/>
        <v/>
      </c>
    </row>
    <row r="2044" spans="1:8" ht="19.95" customHeight="1">
      <c r="A2044" s="5" t="str">
        <f>IF($G2044="","",INDEX('EDS Lookup'!$D$6:$D$2819,$G2044))</f>
        <v/>
      </c>
      <c r="B2044" s="5" t="str">
        <f>IF($G2044="","",INDEX('EDS Lookup'!$B$6:$B$2819,$G2044))</f>
        <v/>
      </c>
      <c r="C2044" s="17"/>
      <c r="D2044" s="6"/>
      <c r="E2044" s="7" t="str">
        <f>IF($G2044="","",INDEX('EDS Lookup'!$F$6:$F$2819,$G2044))</f>
        <v/>
      </c>
      <c r="F2044" s="8" t="str">
        <f>IF($G2044="","",INDEX('EDS Lookup'!$G$6:$G$2819,$G2044))</f>
        <v/>
      </c>
      <c r="G2044" t="str">
        <f>IF(2021&lt;=$B$4,IFERROR(MATCH(2021,'EDS Lookup'!$H$6:$H$2819,0),""),"")</f>
        <v/>
      </c>
      <c r="H2044" t="str">
        <f t="shared" si="31"/>
        <v/>
      </c>
    </row>
    <row r="2045" spans="1:8" ht="19.95" customHeight="1">
      <c r="A2045" s="5" t="str">
        <f>IF($G2045="","",INDEX('EDS Lookup'!$D$6:$D$2819,$G2045))</f>
        <v/>
      </c>
      <c r="B2045" s="5" t="str">
        <f>IF($G2045="","",INDEX('EDS Lookup'!$B$6:$B$2819,$G2045))</f>
        <v/>
      </c>
      <c r="C2045" s="17"/>
      <c r="D2045" s="6"/>
      <c r="E2045" s="7" t="str">
        <f>IF($G2045="","",INDEX('EDS Lookup'!$F$6:$F$2819,$G2045))</f>
        <v/>
      </c>
      <c r="F2045" s="8" t="str">
        <f>IF($G2045="","",INDEX('EDS Lookup'!$G$6:$G$2819,$G2045))</f>
        <v/>
      </c>
      <c r="G2045" t="str">
        <f>IF(2022&lt;=$B$4,IFERROR(MATCH(2022,'EDS Lookup'!$H$6:$H$2819,0),""),"")</f>
        <v/>
      </c>
      <c r="H2045" t="str">
        <f t="shared" si="31"/>
        <v/>
      </c>
    </row>
    <row r="2046" spans="1:8" ht="19.95" customHeight="1">
      <c r="A2046" s="5" t="str">
        <f>IF($G2046="","",INDEX('EDS Lookup'!$D$6:$D$2819,$G2046))</f>
        <v/>
      </c>
      <c r="B2046" s="5" t="str">
        <f>IF($G2046="","",INDEX('EDS Lookup'!$B$6:$B$2819,$G2046))</f>
        <v/>
      </c>
      <c r="C2046" s="17"/>
      <c r="D2046" s="6"/>
      <c r="E2046" s="7" t="str">
        <f>IF($G2046="","",INDEX('EDS Lookup'!$F$6:$F$2819,$G2046))</f>
        <v/>
      </c>
      <c r="F2046" s="8" t="str">
        <f>IF($G2046="","",INDEX('EDS Lookup'!$G$6:$G$2819,$G2046))</f>
        <v/>
      </c>
      <c r="G2046" t="str">
        <f>IF(2023&lt;=$B$4,IFERROR(MATCH(2023,'EDS Lookup'!$H$6:$H$2819,0),""),"")</f>
        <v/>
      </c>
      <c r="H2046" t="str">
        <f t="shared" si="31"/>
        <v/>
      </c>
    </row>
    <row r="2047" spans="1:8" ht="19.95" customHeight="1">
      <c r="A2047" s="5" t="str">
        <f>IF($G2047="","",INDEX('EDS Lookup'!$D$6:$D$2819,$G2047))</f>
        <v/>
      </c>
      <c r="B2047" s="5" t="str">
        <f>IF($G2047="","",INDEX('EDS Lookup'!$B$6:$B$2819,$G2047))</f>
        <v/>
      </c>
      <c r="C2047" s="17"/>
      <c r="D2047" s="6"/>
      <c r="E2047" s="7" t="str">
        <f>IF($G2047="","",INDEX('EDS Lookup'!$F$6:$F$2819,$G2047))</f>
        <v/>
      </c>
      <c r="F2047" s="8" t="str">
        <f>IF($G2047="","",INDEX('EDS Lookup'!$G$6:$G$2819,$G2047))</f>
        <v/>
      </c>
      <c r="G2047" t="str">
        <f>IF(2024&lt;=$B$4,IFERROR(MATCH(2024,'EDS Lookup'!$H$6:$H$2819,0),""),"")</f>
        <v/>
      </c>
      <c r="H2047" t="str">
        <f t="shared" si="31"/>
        <v/>
      </c>
    </row>
    <row r="2048" spans="1:8" ht="19.95" customHeight="1">
      <c r="A2048" s="5" t="str">
        <f>IF($G2048="","",INDEX('EDS Lookup'!$D$6:$D$2819,$G2048))</f>
        <v/>
      </c>
      <c r="B2048" s="5" t="str">
        <f>IF($G2048="","",INDEX('EDS Lookup'!$B$6:$B$2819,$G2048))</f>
        <v/>
      </c>
      <c r="C2048" s="17"/>
      <c r="D2048" s="6"/>
      <c r="E2048" s="7" t="str">
        <f>IF($G2048="","",INDEX('EDS Lookup'!$F$6:$F$2819,$G2048))</f>
        <v/>
      </c>
      <c r="F2048" s="8" t="str">
        <f>IF($G2048="","",INDEX('EDS Lookup'!$G$6:$G$2819,$G2048))</f>
        <v/>
      </c>
      <c r="G2048" t="str">
        <f>IF(2025&lt;=$B$4,IFERROR(MATCH(2025,'EDS Lookup'!$H$6:$H$2819,0),""),"")</f>
        <v/>
      </c>
      <c r="H2048" t="str">
        <f t="shared" si="31"/>
        <v/>
      </c>
    </row>
    <row r="2049" spans="1:8" ht="19.95" customHeight="1">
      <c r="A2049" s="5" t="str">
        <f>IF($G2049="","",INDEX('EDS Lookup'!$D$6:$D$2819,$G2049))</f>
        <v/>
      </c>
      <c r="B2049" s="5" t="str">
        <f>IF($G2049="","",INDEX('EDS Lookup'!$B$6:$B$2819,$G2049))</f>
        <v/>
      </c>
      <c r="C2049" s="17"/>
      <c r="D2049" s="6"/>
      <c r="E2049" s="7" t="str">
        <f>IF($G2049="","",INDEX('EDS Lookup'!$F$6:$F$2819,$G2049))</f>
        <v/>
      </c>
      <c r="F2049" s="8" t="str">
        <f>IF($G2049="","",INDEX('EDS Lookup'!$G$6:$G$2819,$G2049))</f>
        <v/>
      </c>
      <c r="G2049" t="str">
        <f>IF(2026&lt;=$B$4,IFERROR(MATCH(2026,'EDS Lookup'!$H$6:$H$2819,0),""),"")</f>
        <v/>
      </c>
      <c r="H2049" t="str">
        <f t="shared" si="31"/>
        <v/>
      </c>
    </row>
    <row r="2050" spans="1:8" ht="19.95" customHeight="1">
      <c r="A2050" s="5" t="str">
        <f>IF($G2050="","",INDEX('EDS Lookup'!$D$6:$D$2819,$G2050))</f>
        <v/>
      </c>
      <c r="B2050" s="5" t="str">
        <f>IF($G2050="","",INDEX('EDS Lookup'!$B$6:$B$2819,$G2050))</f>
        <v/>
      </c>
      <c r="C2050" s="17"/>
      <c r="D2050" s="6"/>
      <c r="E2050" s="7" t="str">
        <f>IF($G2050="","",INDEX('EDS Lookup'!$F$6:$F$2819,$G2050))</f>
        <v/>
      </c>
      <c r="F2050" s="8" t="str">
        <f>IF($G2050="","",INDEX('EDS Lookup'!$G$6:$G$2819,$G2050))</f>
        <v/>
      </c>
      <c r="G2050" t="str">
        <f>IF(2027&lt;=$B$4,IFERROR(MATCH(2027,'EDS Lookup'!$H$6:$H$2819,0),""),"")</f>
        <v/>
      </c>
      <c r="H2050" t="str">
        <f t="shared" si="31"/>
        <v/>
      </c>
    </row>
    <row r="2051" spans="1:8" ht="19.95" customHeight="1">
      <c r="A2051" s="5" t="str">
        <f>IF($G2051="","",INDEX('EDS Lookup'!$D$6:$D$2819,$G2051))</f>
        <v/>
      </c>
      <c r="B2051" s="5" t="str">
        <f>IF($G2051="","",INDEX('EDS Lookup'!$B$6:$B$2819,$G2051))</f>
        <v/>
      </c>
      <c r="C2051" s="17"/>
      <c r="D2051" s="6"/>
      <c r="E2051" s="7" t="str">
        <f>IF($G2051="","",INDEX('EDS Lookup'!$F$6:$F$2819,$G2051))</f>
        <v/>
      </c>
      <c r="F2051" s="8" t="str">
        <f>IF($G2051="","",INDEX('EDS Lookup'!$G$6:$G$2819,$G2051))</f>
        <v/>
      </c>
      <c r="G2051" t="str">
        <f>IF(2028&lt;=$B$4,IFERROR(MATCH(2028,'EDS Lookup'!$H$6:$H$2819,0),""),"")</f>
        <v/>
      </c>
      <c r="H2051" t="str">
        <f t="shared" si="31"/>
        <v/>
      </c>
    </row>
    <row r="2052" spans="1:8" ht="19.95" customHeight="1">
      <c r="A2052" s="5" t="str">
        <f>IF($G2052="","",INDEX('EDS Lookup'!$D$6:$D$2819,$G2052))</f>
        <v/>
      </c>
      <c r="B2052" s="5" t="str">
        <f>IF($G2052="","",INDEX('EDS Lookup'!$B$6:$B$2819,$G2052))</f>
        <v/>
      </c>
      <c r="C2052" s="17"/>
      <c r="D2052" s="6"/>
      <c r="E2052" s="7" t="str">
        <f>IF($G2052="","",INDEX('EDS Lookup'!$F$6:$F$2819,$G2052))</f>
        <v/>
      </c>
      <c r="F2052" s="8" t="str">
        <f>IF($G2052="","",INDEX('EDS Lookup'!$G$6:$G$2819,$G2052))</f>
        <v/>
      </c>
      <c r="G2052" t="str">
        <f>IF(2029&lt;=$B$4,IFERROR(MATCH(2029,'EDS Lookup'!$H$6:$H$2819,0),""),"")</f>
        <v/>
      </c>
      <c r="H2052" t="str">
        <f t="shared" si="31"/>
        <v/>
      </c>
    </row>
    <row r="2053" spans="1:8" ht="19.95" customHeight="1">
      <c r="A2053" s="5" t="str">
        <f>IF($G2053="","",INDEX('EDS Lookup'!$D$6:$D$2819,$G2053))</f>
        <v/>
      </c>
      <c r="B2053" s="5" t="str">
        <f>IF($G2053="","",INDEX('EDS Lookup'!$B$6:$B$2819,$G2053))</f>
        <v/>
      </c>
      <c r="C2053" s="17"/>
      <c r="D2053" s="6"/>
      <c r="E2053" s="7" t="str">
        <f>IF($G2053="","",INDEX('EDS Lookup'!$F$6:$F$2819,$G2053))</f>
        <v/>
      </c>
      <c r="F2053" s="8" t="str">
        <f>IF($G2053="","",INDEX('EDS Lookup'!$G$6:$G$2819,$G2053))</f>
        <v/>
      </c>
      <c r="G2053" t="str">
        <f>IF(2030&lt;=$B$4,IFERROR(MATCH(2030,'EDS Lookup'!$H$6:$H$2819,0),""),"")</f>
        <v/>
      </c>
      <c r="H2053" t="str">
        <f t="shared" si="31"/>
        <v/>
      </c>
    </row>
    <row r="2054" spans="1:8" ht="19.95" customHeight="1">
      <c r="A2054" s="5" t="str">
        <f>IF($G2054="","",INDEX('EDS Lookup'!$D$6:$D$2819,$G2054))</f>
        <v/>
      </c>
      <c r="B2054" s="5" t="str">
        <f>IF($G2054="","",INDEX('EDS Lookup'!$B$6:$B$2819,$G2054))</f>
        <v/>
      </c>
      <c r="C2054" s="17"/>
      <c r="D2054" s="6"/>
      <c r="E2054" s="7" t="str">
        <f>IF($G2054="","",INDEX('EDS Lookup'!$F$6:$F$2819,$G2054))</f>
        <v/>
      </c>
      <c r="F2054" s="8" t="str">
        <f>IF($G2054="","",INDEX('EDS Lookup'!$G$6:$G$2819,$G2054))</f>
        <v/>
      </c>
      <c r="G2054" t="str">
        <f>IF(2031&lt;=$B$4,IFERROR(MATCH(2031,'EDS Lookup'!$H$6:$H$2819,0),""),"")</f>
        <v/>
      </c>
      <c r="H2054" t="str">
        <f t="shared" si="31"/>
        <v/>
      </c>
    </row>
    <row r="2055" spans="1:8" ht="19.95" customHeight="1">
      <c r="A2055" s="5" t="str">
        <f>IF($G2055="","",INDEX('EDS Lookup'!$D$6:$D$2819,$G2055))</f>
        <v/>
      </c>
      <c r="B2055" s="5" t="str">
        <f>IF($G2055="","",INDEX('EDS Lookup'!$B$6:$B$2819,$G2055))</f>
        <v/>
      </c>
      <c r="C2055" s="17"/>
      <c r="D2055" s="6"/>
      <c r="E2055" s="7" t="str">
        <f>IF($G2055="","",INDEX('EDS Lookup'!$F$6:$F$2819,$G2055))</f>
        <v/>
      </c>
      <c r="F2055" s="8" t="str">
        <f>IF($G2055="","",INDEX('EDS Lookup'!$G$6:$G$2819,$G2055))</f>
        <v/>
      </c>
      <c r="G2055" t="str">
        <f>IF(2032&lt;=$B$4,IFERROR(MATCH(2032,'EDS Lookup'!$H$6:$H$2819,0),""),"")</f>
        <v/>
      </c>
      <c r="H2055" t="str">
        <f t="shared" si="31"/>
        <v/>
      </c>
    </row>
    <row r="2056" spans="1:8" ht="19.95" customHeight="1">
      <c r="A2056" s="5" t="str">
        <f>IF($G2056="","",INDEX('EDS Lookup'!$D$6:$D$2819,$G2056))</f>
        <v/>
      </c>
      <c r="B2056" s="5" t="str">
        <f>IF($G2056="","",INDEX('EDS Lookup'!$B$6:$B$2819,$G2056))</f>
        <v/>
      </c>
      <c r="C2056" s="17"/>
      <c r="D2056" s="6"/>
      <c r="E2056" s="7" t="str">
        <f>IF($G2056="","",INDEX('EDS Lookup'!$F$6:$F$2819,$G2056))</f>
        <v/>
      </c>
      <c r="F2056" s="8" t="str">
        <f>IF($G2056="","",INDEX('EDS Lookup'!$G$6:$G$2819,$G2056))</f>
        <v/>
      </c>
      <c r="G2056" t="str">
        <f>IF(2033&lt;=$B$4,IFERROR(MATCH(2033,'EDS Lookup'!$H$6:$H$2819,0),""),"")</f>
        <v/>
      </c>
      <c r="H2056" t="str">
        <f t="shared" si="31"/>
        <v/>
      </c>
    </row>
    <row r="2057" spans="1:8" ht="19.95" customHeight="1">
      <c r="A2057" s="5" t="str">
        <f>IF($G2057="","",INDEX('EDS Lookup'!$D$6:$D$2819,$G2057))</f>
        <v/>
      </c>
      <c r="B2057" s="5" t="str">
        <f>IF($G2057="","",INDEX('EDS Lookup'!$B$6:$B$2819,$G2057))</f>
        <v/>
      </c>
      <c r="C2057" s="17"/>
      <c r="D2057" s="6"/>
      <c r="E2057" s="7" t="str">
        <f>IF($G2057="","",INDEX('EDS Lookup'!$F$6:$F$2819,$G2057))</f>
        <v/>
      </c>
      <c r="F2057" s="8" t="str">
        <f>IF($G2057="","",INDEX('EDS Lookup'!$G$6:$G$2819,$G2057))</f>
        <v/>
      </c>
      <c r="G2057" t="str">
        <f>IF(2034&lt;=$B$4,IFERROR(MATCH(2034,'EDS Lookup'!$H$6:$H$2819,0),""),"")</f>
        <v/>
      </c>
      <c r="H2057" t="str">
        <f t="shared" si="31"/>
        <v/>
      </c>
    </row>
    <row r="2058" spans="1:8" ht="19.95" customHeight="1">
      <c r="A2058" s="5" t="str">
        <f>IF($G2058="","",INDEX('EDS Lookup'!$D$6:$D$2819,$G2058))</f>
        <v/>
      </c>
      <c r="B2058" s="5" t="str">
        <f>IF($G2058="","",INDEX('EDS Lookup'!$B$6:$B$2819,$G2058))</f>
        <v/>
      </c>
      <c r="C2058" s="17"/>
      <c r="D2058" s="6"/>
      <c r="E2058" s="7" t="str">
        <f>IF($G2058="","",INDEX('EDS Lookup'!$F$6:$F$2819,$G2058))</f>
        <v/>
      </c>
      <c r="F2058" s="8" t="str">
        <f>IF($G2058="","",INDEX('EDS Lookup'!$G$6:$G$2819,$G2058))</f>
        <v/>
      </c>
      <c r="G2058" t="str">
        <f>IF(2035&lt;=$B$4,IFERROR(MATCH(2035,'EDS Lookup'!$H$6:$H$2819,0),""),"")</f>
        <v/>
      </c>
      <c r="H2058" t="str">
        <f t="shared" si="31"/>
        <v/>
      </c>
    </row>
    <row r="2059" spans="1:8" ht="19.95" customHeight="1">
      <c r="A2059" s="5" t="str">
        <f>IF($G2059="","",INDEX('EDS Lookup'!$D$6:$D$2819,$G2059))</f>
        <v/>
      </c>
      <c r="B2059" s="5" t="str">
        <f>IF($G2059="","",INDEX('EDS Lookup'!$B$6:$B$2819,$G2059))</f>
        <v/>
      </c>
      <c r="C2059" s="17"/>
      <c r="D2059" s="6"/>
      <c r="E2059" s="7" t="str">
        <f>IF($G2059="","",INDEX('EDS Lookup'!$F$6:$F$2819,$G2059))</f>
        <v/>
      </c>
      <c r="F2059" s="8" t="str">
        <f>IF($G2059="","",INDEX('EDS Lookup'!$G$6:$G$2819,$G2059))</f>
        <v/>
      </c>
      <c r="G2059" t="str">
        <f>IF(2036&lt;=$B$4,IFERROR(MATCH(2036,'EDS Lookup'!$H$6:$H$2819,0),""),"")</f>
        <v/>
      </c>
      <c r="H2059" t="str">
        <f t="shared" si="31"/>
        <v/>
      </c>
    </row>
    <row r="2060" spans="1:8" ht="19.95" customHeight="1">
      <c r="A2060" s="5" t="str">
        <f>IF($G2060="","",INDEX('EDS Lookup'!$D$6:$D$2819,$G2060))</f>
        <v/>
      </c>
      <c r="B2060" s="5" t="str">
        <f>IF($G2060="","",INDEX('EDS Lookup'!$B$6:$B$2819,$G2060))</f>
        <v/>
      </c>
      <c r="C2060" s="17"/>
      <c r="D2060" s="6"/>
      <c r="E2060" s="7" t="str">
        <f>IF($G2060="","",INDEX('EDS Lookup'!$F$6:$F$2819,$G2060))</f>
        <v/>
      </c>
      <c r="F2060" s="8" t="str">
        <f>IF($G2060="","",INDEX('EDS Lookup'!$G$6:$G$2819,$G2060))</f>
        <v/>
      </c>
      <c r="G2060" t="str">
        <f>IF(2037&lt;=$B$4,IFERROR(MATCH(2037,'EDS Lookup'!$H$6:$H$2819,0),""),"")</f>
        <v/>
      </c>
      <c r="H2060" t="str">
        <f t="shared" si="31"/>
        <v/>
      </c>
    </row>
    <row r="2061" spans="1:8" ht="19.95" customHeight="1">
      <c r="A2061" s="5" t="str">
        <f>IF($G2061="","",INDEX('EDS Lookup'!$D$6:$D$2819,$G2061))</f>
        <v/>
      </c>
      <c r="B2061" s="5" t="str">
        <f>IF($G2061="","",INDEX('EDS Lookup'!$B$6:$B$2819,$G2061))</f>
        <v/>
      </c>
      <c r="C2061" s="17"/>
      <c r="D2061" s="6"/>
      <c r="E2061" s="7" t="str">
        <f>IF($G2061="","",INDEX('EDS Lookup'!$F$6:$F$2819,$G2061))</f>
        <v/>
      </c>
      <c r="F2061" s="8" t="str">
        <f>IF($G2061="","",INDEX('EDS Lookup'!$G$6:$G$2819,$G2061))</f>
        <v/>
      </c>
      <c r="G2061" t="str">
        <f>IF(2038&lt;=$B$4,IFERROR(MATCH(2038,'EDS Lookup'!$H$6:$H$2819,0),""),"")</f>
        <v/>
      </c>
      <c r="H2061" t="str">
        <f t="shared" si="31"/>
        <v/>
      </c>
    </row>
    <row r="2062" spans="1:8" ht="19.95" customHeight="1">
      <c r="A2062" s="5" t="str">
        <f>IF($G2062="","",INDEX('EDS Lookup'!$D$6:$D$2819,$G2062))</f>
        <v/>
      </c>
      <c r="B2062" s="5" t="str">
        <f>IF($G2062="","",INDEX('EDS Lookup'!$B$6:$B$2819,$G2062))</f>
        <v/>
      </c>
      <c r="C2062" s="17"/>
      <c r="D2062" s="6"/>
      <c r="E2062" s="7" t="str">
        <f>IF($G2062="","",INDEX('EDS Lookup'!$F$6:$F$2819,$G2062))</f>
        <v/>
      </c>
      <c r="F2062" s="8" t="str">
        <f>IF($G2062="","",INDEX('EDS Lookup'!$G$6:$G$2819,$G2062))</f>
        <v/>
      </c>
      <c r="G2062" t="str">
        <f>IF(2039&lt;=$B$4,IFERROR(MATCH(2039,'EDS Lookup'!$H$6:$H$2819,0),""),"")</f>
        <v/>
      </c>
      <c r="H2062" t="str">
        <f t="shared" si="31"/>
        <v/>
      </c>
    </row>
    <row r="2063" spans="1:8" ht="19.95" customHeight="1">
      <c r="A2063" s="5" t="str">
        <f>IF($G2063="","",INDEX('EDS Lookup'!$D$6:$D$2819,$G2063))</f>
        <v/>
      </c>
      <c r="B2063" s="5" t="str">
        <f>IF($G2063="","",INDEX('EDS Lookup'!$B$6:$B$2819,$G2063))</f>
        <v/>
      </c>
      <c r="C2063" s="17"/>
      <c r="D2063" s="6"/>
      <c r="E2063" s="7" t="str">
        <f>IF($G2063="","",INDEX('EDS Lookup'!$F$6:$F$2819,$G2063))</f>
        <v/>
      </c>
      <c r="F2063" s="8" t="str">
        <f>IF($G2063="","",INDEX('EDS Lookup'!$G$6:$G$2819,$G2063))</f>
        <v/>
      </c>
      <c r="G2063" t="str">
        <f>IF(2040&lt;=$B$4,IFERROR(MATCH(2040,'EDS Lookup'!$H$6:$H$2819,0),""),"")</f>
        <v/>
      </c>
      <c r="H2063" t="str">
        <f t="shared" si="31"/>
        <v/>
      </c>
    </row>
    <row r="2064" spans="1:8" ht="19.95" customHeight="1">
      <c r="A2064" s="5" t="str">
        <f>IF($G2064="","",INDEX('EDS Lookup'!$D$6:$D$2819,$G2064))</f>
        <v/>
      </c>
      <c r="B2064" s="5" t="str">
        <f>IF($G2064="","",INDEX('EDS Lookup'!$B$6:$B$2819,$G2064))</f>
        <v/>
      </c>
      <c r="C2064" s="17"/>
      <c r="D2064" s="6"/>
      <c r="E2064" s="7" t="str">
        <f>IF($G2064="","",INDEX('EDS Lookup'!$F$6:$F$2819,$G2064))</f>
        <v/>
      </c>
      <c r="F2064" s="8" t="str">
        <f>IF($G2064="","",INDEX('EDS Lookup'!$G$6:$G$2819,$G2064))</f>
        <v/>
      </c>
      <c r="G2064" t="str">
        <f>IF(2041&lt;=$B$4,IFERROR(MATCH(2041,'EDS Lookup'!$H$6:$H$2819,0),""),"")</f>
        <v/>
      </c>
      <c r="H2064" t="str">
        <f t="shared" si="31"/>
        <v/>
      </c>
    </row>
    <row r="2065" spans="1:8" ht="19.95" customHeight="1">
      <c r="A2065" s="5" t="str">
        <f>IF($G2065="","",INDEX('EDS Lookup'!$D$6:$D$2819,$G2065))</f>
        <v/>
      </c>
      <c r="B2065" s="5" t="str">
        <f>IF($G2065="","",INDEX('EDS Lookup'!$B$6:$B$2819,$G2065))</f>
        <v/>
      </c>
      <c r="C2065" s="17"/>
      <c r="D2065" s="6"/>
      <c r="E2065" s="7" t="str">
        <f>IF($G2065="","",INDEX('EDS Lookup'!$F$6:$F$2819,$G2065))</f>
        <v/>
      </c>
      <c r="F2065" s="8" t="str">
        <f>IF($G2065="","",INDEX('EDS Lookup'!$G$6:$G$2819,$G2065))</f>
        <v/>
      </c>
      <c r="G2065" t="str">
        <f>IF(2042&lt;=$B$4,IFERROR(MATCH(2042,'EDS Lookup'!$H$6:$H$2819,0),""),"")</f>
        <v/>
      </c>
      <c r="H2065" t="str">
        <f t="shared" si="31"/>
        <v/>
      </c>
    </row>
    <row r="2066" spans="1:8" ht="19.95" customHeight="1">
      <c r="A2066" s="5" t="str">
        <f>IF($G2066="","",INDEX('EDS Lookup'!$D$6:$D$2819,$G2066))</f>
        <v/>
      </c>
      <c r="B2066" s="5" t="str">
        <f>IF($G2066="","",INDEX('EDS Lookup'!$B$6:$B$2819,$G2066))</f>
        <v/>
      </c>
      <c r="C2066" s="17"/>
      <c r="D2066" s="6"/>
      <c r="E2066" s="7" t="str">
        <f>IF($G2066="","",INDEX('EDS Lookup'!$F$6:$F$2819,$G2066))</f>
        <v/>
      </c>
      <c r="F2066" s="8" t="str">
        <f>IF($G2066="","",INDEX('EDS Lookup'!$G$6:$G$2819,$G2066))</f>
        <v/>
      </c>
      <c r="G2066" t="str">
        <f>IF(2043&lt;=$B$4,IFERROR(MATCH(2043,'EDS Lookup'!$H$6:$H$2819,0),""),"")</f>
        <v/>
      </c>
      <c r="H2066" t="str">
        <f t="shared" si="31"/>
        <v/>
      </c>
    </row>
    <row r="2067" spans="1:8" ht="19.95" customHeight="1">
      <c r="A2067" s="5" t="str">
        <f>IF($G2067="","",INDEX('EDS Lookup'!$D$6:$D$2819,$G2067))</f>
        <v/>
      </c>
      <c r="B2067" s="5" t="str">
        <f>IF($G2067="","",INDEX('EDS Lookup'!$B$6:$B$2819,$G2067))</f>
        <v/>
      </c>
      <c r="C2067" s="17"/>
      <c r="D2067" s="6"/>
      <c r="E2067" s="7" t="str">
        <f>IF($G2067="","",INDEX('EDS Lookup'!$F$6:$F$2819,$G2067))</f>
        <v/>
      </c>
      <c r="F2067" s="8" t="str">
        <f>IF($G2067="","",INDEX('EDS Lookup'!$G$6:$G$2819,$G2067))</f>
        <v/>
      </c>
      <c r="G2067" t="str">
        <f>IF(2044&lt;=$B$4,IFERROR(MATCH(2044,'EDS Lookup'!$H$6:$H$2819,0),""),"")</f>
        <v/>
      </c>
      <c r="H2067" t="str">
        <f t="shared" si="31"/>
        <v/>
      </c>
    </row>
    <row r="2068" spans="1:8" ht="19.95" customHeight="1">
      <c r="A2068" s="5" t="str">
        <f>IF($G2068="","",INDEX('EDS Lookup'!$D$6:$D$2819,$G2068))</f>
        <v/>
      </c>
      <c r="B2068" s="5" t="str">
        <f>IF($G2068="","",INDEX('EDS Lookup'!$B$6:$B$2819,$G2068))</f>
        <v/>
      </c>
      <c r="C2068" s="17"/>
      <c r="D2068" s="6"/>
      <c r="E2068" s="7" t="str">
        <f>IF($G2068="","",INDEX('EDS Lookup'!$F$6:$F$2819,$G2068))</f>
        <v/>
      </c>
      <c r="F2068" s="8" t="str">
        <f>IF($G2068="","",INDEX('EDS Lookup'!$G$6:$G$2819,$G2068))</f>
        <v/>
      </c>
      <c r="G2068" t="str">
        <f>IF(2045&lt;=$B$4,IFERROR(MATCH(2045,'EDS Lookup'!$H$6:$H$2819,0),""),"")</f>
        <v/>
      </c>
      <c r="H2068" t="str">
        <f t="shared" si="31"/>
        <v/>
      </c>
    </row>
    <row r="2069" spans="1:8" ht="19.95" customHeight="1">
      <c r="A2069" s="5" t="str">
        <f>IF($G2069="","",INDEX('EDS Lookup'!$D$6:$D$2819,$G2069))</f>
        <v/>
      </c>
      <c r="B2069" s="5" t="str">
        <f>IF($G2069="","",INDEX('EDS Lookup'!$B$6:$B$2819,$G2069))</f>
        <v/>
      </c>
      <c r="C2069" s="17"/>
      <c r="D2069" s="6"/>
      <c r="E2069" s="7" t="str">
        <f>IF($G2069="","",INDEX('EDS Lookup'!$F$6:$F$2819,$G2069))</f>
        <v/>
      </c>
      <c r="F2069" s="8" t="str">
        <f>IF($G2069="","",INDEX('EDS Lookup'!$G$6:$G$2819,$G2069))</f>
        <v/>
      </c>
      <c r="G2069" t="str">
        <f>IF(2046&lt;=$B$4,IFERROR(MATCH(2046,'EDS Lookup'!$H$6:$H$2819,0),""),"")</f>
        <v/>
      </c>
      <c r="H2069" t="str">
        <f t="shared" si="31"/>
        <v/>
      </c>
    </row>
    <row r="2070" spans="1:8" ht="19.95" customHeight="1">
      <c r="A2070" s="5" t="str">
        <f>IF($G2070="","",INDEX('EDS Lookup'!$D$6:$D$2819,$G2070))</f>
        <v/>
      </c>
      <c r="B2070" s="5" t="str">
        <f>IF($G2070="","",INDEX('EDS Lookup'!$B$6:$B$2819,$G2070))</f>
        <v/>
      </c>
      <c r="C2070" s="17"/>
      <c r="D2070" s="6"/>
      <c r="E2070" s="7" t="str">
        <f>IF($G2070="","",INDEX('EDS Lookup'!$F$6:$F$2819,$G2070))</f>
        <v/>
      </c>
      <c r="F2070" s="8" t="str">
        <f>IF($G2070="","",INDEX('EDS Lookup'!$G$6:$G$2819,$G2070))</f>
        <v/>
      </c>
      <c r="G2070" t="str">
        <f>IF(2047&lt;=$B$4,IFERROR(MATCH(2047,'EDS Lookup'!$H$6:$H$2819,0),""),"")</f>
        <v/>
      </c>
      <c r="H2070" t="str">
        <f t="shared" si="31"/>
        <v/>
      </c>
    </row>
    <row r="2071" spans="1:8" ht="19.95" customHeight="1">
      <c r="A2071" s="5" t="str">
        <f>IF($G2071="","",INDEX('EDS Lookup'!$D$6:$D$2819,$G2071))</f>
        <v/>
      </c>
      <c r="B2071" s="5" t="str">
        <f>IF($G2071="","",INDEX('EDS Lookup'!$B$6:$B$2819,$G2071))</f>
        <v/>
      </c>
      <c r="C2071" s="17"/>
      <c r="D2071" s="6"/>
      <c r="E2071" s="7" t="str">
        <f>IF($G2071="","",INDEX('EDS Lookup'!$F$6:$F$2819,$G2071))</f>
        <v/>
      </c>
      <c r="F2071" s="8" t="str">
        <f>IF($G2071="","",INDEX('EDS Lookup'!$G$6:$G$2819,$G2071))</f>
        <v/>
      </c>
      <c r="G2071" t="str">
        <f>IF(2048&lt;=$B$4,IFERROR(MATCH(2048,'EDS Lookup'!$H$6:$H$2819,0),""),"")</f>
        <v/>
      </c>
      <c r="H2071" t="str">
        <f t="shared" si="31"/>
        <v/>
      </c>
    </row>
    <row r="2072" spans="1:8" ht="19.95" customHeight="1">
      <c r="A2072" s="5" t="str">
        <f>IF($G2072="","",INDEX('EDS Lookup'!$D$6:$D$2819,$G2072))</f>
        <v/>
      </c>
      <c r="B2072" s="5" t="str">
        <f>IF($G2072="","",INDEX('EDS Lookup'!$B$6:$B$2819,$G2072))</f>
        <v/>
      </c>
      <c r="C2072" s="17"/>
      <c r="D2072" s="6"/>
      <c r="E2072" s="7" t="str">
        <f>IF($G2072="","",INDEX('EDS Lookup'!$F$6:$F$2819,$G2072))</f>
        <v/>
      </c>
      <c r="F2072" s="8" t="str">
        <f>IF($G2072="","",INDEX('EDS Lookup'!$G$6:$G$2819,$G2072))</f>
        <v/>
      </c>
      <c r="G2072" t="str">
        <f>IF(2049&lt;=$B$4,IFERROR(MATCH(2049,'EDS Lookup'!$H$6:$H$2819,0),""),"")</f>
        <v/>
      </c>
      <c r="H2072" t="str">
        <f t="shared" ref="H2072:H2135" si="32">IF(F2072="&lt;5",5,IF(F2072="&gt;95",95,IF(ISNUMBER(F2072),F2072,"")))</f>
        <v/>
      </c>
    </row>
    <row r="2073" spans="1:8" ht="19.95" customHeight="1">
      <c r="A2073" s="5" t="str">
        <f>IF($G2073="","",INDEX('EDS Lookup'!$D$6:$D$2819,$G2073))</f>
        <v/>
      </c>
      <c r="B2073" s="5" t="str">
        <f>IF($G2073="","",INDEX('EDS Lookup'!$B$6:$B$2819,$G2073))</f>
        <v/>
      </c>
      <c r="C2073" s="17"/>
      <c r="D2073" s="6"/>
      <c r="E2073" s="7" t="str">
        <f>IF($G2073="","",INDEX('EDS Lookup'!$F$6:$F$2819,$G2073))</f>
        <v/>
      </c>
      <c r="F2073" s="8" t="str">
        <f>IF($G2073="","",INDEX('EDS Lookup'!$G$6:$G$2819,$G2073))</f>
        <v/>
      </c>
      <c r="G2073" t="str">
        <f>IF(2050&lt;=$B$4,IFERROR(MATCH(2050,'EDS Lookup'!$H$6:$H$2819,0),""),"")</f>
        <v/>
      </c>
      <c r="H2073" t="str">
        <f t="shared" si="32"/>
        <v/>
      </c>
    </row>
    <row r="2074" spans="1:8" ht="19.95" customHeight="1">
      <c r="A2074" s="5" t="str">
        <f>IF($G2074="","",INDEX('EDS Lookup'!$D$6:$D$2819,$G2074))</f>
        <v/>
      </c>
      <c r="B2074" s="5" t="str">
        <f>IF($G2074="","",INDEX('EDS Lookup'!$B$6:$B$2819,$G2074))</f>
        <v/>
      </c>
      <c r="C2074" s="17"/>
      <c r="D2074" s="6"/>
      <c r="E2074" s="7" t="str">
        <f>IF($G2074="","",INDEX('EDS Lookup'!$F$6:$F$2819,$G2074))</f>
        <v/>
      </c>
      <c r="F2074" s="8" t="str">
        <f>IF($G2074="","",INDEX('EDS Lookup'!$G$6:$G$2819,$G2074))</f>
        <v/>
      </c>
      <c r="G2074" t="str">
        <f>IF(2051&lt;=$B$4,IFERROR(MATCH(2051,'EDS Lookup'!$H$6:$H$2819,0),""),"")</f>
        <v/>
      </c>
      <c r="H2074" t="str">
        <f t="shared" si="32"/>
        <v/>
      </c>
    </row>
    <row r="2075" spans="1:8" ht="19.95" customHeight="1">
      <c r="A2075" s="5" t="str">
        <f>IF($G2075="","",INDEX('EDS Lookup'!$D$6:$D$2819,$G2075))</f>
        <v/>
      </c>
      <c r="B2075" s="5" t="str">
        <f>IF($G2075="","",INDEX('EDS Lookup'!$B$6:$B$2819,$G2075))</f>
        <v/>
      </c>
      <c r="C2075" s="17"/>
      <c r="D2075" s="6"/>
      <c r="E2075" s="7" t="str">
        <f>IF($G2075="","",INDEX('EDS Lookup'!$F$6:$F$2819,$G2075))</f>
        <v/>
      </c>
      <c r="F2075" s="8" t="str">
        <f>IF($G2075="","",INDEX('EDS Lookup'!$G$6:$G$2819,$G2075))</f>
        <v/>
      </c>
      <c r="G2075" t="str">
        <f>IF(2052&lt;=$B$4,IFERROR(MATCH(2052,'EDS Lookup'!$H$6:$H$2819,0),""),"")</f>
        <v/>
      </c>
      <c r="H2075" t="str">
        <f t="shared" si="32"/>
        <v/>
      </c>
    </row>
    <row r="2076" spans="1:8" ht="19.95" customHeight="1">
      <c r="A2076" s="5" t="str">
        <f>IF($G2076="","",INDEX('EDS Lookup'!$D$6:$D$2819,$G2076))</f>
        <v/>
      </c>
      <c r="B2076" s="5" t="str">
        <f>IF($G2076="","",INDEX('EDS Lookup'!$B$6:$B$2819,$G2076))</f>
        <v/>
      </c>
      <c r="C2076" s="17"/>
      <c r="D2076" s="6"/>
      <c r="E2076" s="7" t="str">
        <f>IF($G2076="","",INDEX('EDS Lookup'!$F$6:$F$2819,$G2076))</f>
        <v/>
      </c>
      <c r="F2076" s="8" t="str">
        <f>IF($G2076="","",INDEX('EDS Lookup'!$G$6:$G$2819,$G2076))</f>
        <v/>
      </c>
      <c r="G2076" t="str">
        <f>IF(2053&lt;=$B$4,IFERROR(MATCH(2053,'EDS Lookup'!$H$6:$H$2819,0),""),"")</f>
        <v/>
      </c>
      <c r="H2076" t="str">
        <f t="shared" si="32"/>
        <v/>
      </c>
    </row>
    <row r="2077" spans="1:8" ht="19.95" customHeight="1">
      <c r="A2077" s="5" t="str">
        <f>IF($G2077="","",INDEX('EDS Lookup'!$D$6:$D$2819,$G2077))</f>
        <v/>
      </c>
      <c r="B2077" s="5" t="str">
        <f>IF($G2077="","",INDEX('EDS Lookup'!$B$6:$B$2819,$G2077))</f>
        <v/>
      </c>
      <c r="C2077" s="17"/>
      <c r="D2077" s="6"/>
      <c r="E2077" s="7" t="str">
        <f>IF($G2077="","",INDEX('EDS Lookup'!$F$6:$F$2819,$G2077))</f>
        <v/>
      </c>
      <c r="F2077" s="8" t="str">
        <f>IF($G2077="","",INDEX('EDS Lookup'!$G$6:$G$2819,$G2077))</f>
        <v/>
      </c>
      <c r="G2077" t="str">
        <f>IF(2054&lt;=$B$4,IFERROR(MATCH(2054,'EDS Lookup'!$H$6:$H$2819,0),""),"")</f>
        <v/>
      </c>
      <c r="H2077" t="str">
        <f t="shared" si="32"/>
        <v/>
      </c>
    </row>
    <row r="2078" spans="1:8" ht="19.95" customHeight="1">
      <c r="A2078" s="5" t="str">
        <f>IF($G2078="","",INDEX('EDS Lookup'!$D$6:$D$2819,$G2078))</f>
        <v/>
      </c>
      <c r="B2078" s="5" t="str">
        <f>IF($G2078="","",INDEX('EDS Lookup'!$B$6:$B$2819,$G2078))</f>
        <v/>
      </c>
      <c r="C2078" s="17"/>
      <c r="D2078" s="6"/>
      <c r="E2078" s="7" t="str">
        <f>IF($G2078="","",INDEX('EDS Lookup'!$F$6:$F$2819,$G2078))</f>
        <v/>
      </c>
      <c r="F2078" s="8" t="str">
        <f>IF($G2078="","",INDEX('EDS Lookup'!$G$6:$G$2819,$G2078))</f>
        <v/>
      </c>
      <c r="G2078" t="str">
        <f>IF(2055&lt;=$B$4,IFERROR(MATCH(2055,'EDS Lookup'!$H$6:$H$2819,0),""),"")</f>
        <v/>
      </c>
      <c r="H2078" t="str">
        <f t="shared" si="32"/>
        <v/>
      </c>
    </row>
    <row r="2079" spans="1:8" ht="19.95" customHeight="1">
      <c r="A2079" s="5" t="str">
        <f>IF($G2079="","",INDEX('EDS Lookup'!$D$6:$D$2819,$G2079))</f>
        <v/>
      </c>
      <c r="B2079" s="5" t="str">
        <f>IF($G2079="","",INDEX('EDS Lookup'!$B$6:$B$2819,$G2079))</f>
        <v/>
      </c>
      <c r="C2079" s="17"/>
      <c r="D2079" s="6"/>
      <c r="E2079" s="7" t="str">
        <f>IF($G2079="","",INDEX('EDS Lookup'!$F$6:$F$2819,$G2079))</f>
        <v/>
      </c>
      <c r="F2079" s="8" t="str">
        <f>IF($G2079="","",INDEX('EDS Lookup'!$G$6:$G$2819,$G2079))</f>
        <v/>
      </c>
      <c r="G2079" t="str">
        <f>IF(2056&lt;=$B$4,IFERROR(MATCH(2056,'EDS Lookup'!$H$6:$H$2819,0),""),"")</f>
        <v/>
      </c>
      <c r="H2079" t="str">
        <f t="shared" si="32"/>
        <v/>
      </c>
    </row>
    <row r="2080" spans="1:8" ht="19.95" customHeight="1">
      <c r="A2080" s="5" t="str">
        <f>IF($G2080="","",INDEX('EDS Lookup'!$D$6:$D$2819,$G2080))</f>
        <v/>
      </c>
      <c r="B2080" s="5" t="str">
        <f>IF($G2080="","",INDEX('EDS Lookup'!$B$6:$B$2819,$G2080))</f>
        <v/>
      </c>
      <c r="C2080" s="17"/>
      <c r="D2080" s="6"/>
      <c r="E2080" s="7" t="str">
        <f>IF($G2080="","",INDEX('EDS Lookup'!$F$6:$F$2819,$G2080))</f>
        <v/>
      </c>
      <c r="F2080" s="8" t="str">
        <f>IF($G2080="","",INDEX('EDS Lookup'!$G$6:$G$2819,$G2080))</f>
        <v/>
      </c>
      <c r="G2080" t="str">
        <f>IF(2057&lt;=$B$4,IFERROR(MATCH(2057,'EDS Lookup'!$H$6:$H$2819,0),""),"")</f>
        <v/>
      </c>
      <c r="H2080" t="str">
        <f t="shared" si="32"/>
        <v/>
      </c>
    </row>
    <row r="2081" spans="1:8" ht="19.95" customHeight="1">
      <c r="A2081" s="5" t="str">
        <f>IF($G2081="","",INDEX('EDS Lookup'!$D$6:$D$2819,$G2081))</f>
        <v/>
      </c>
      <c r="B2081" s="5" t="str">
        <f>IF($G2081="","",INDEX('EDS Lookup'!$B$6:$B$2819,$G2081))</f>
        <v/>
      </c>
      <c r="C2081" s="17"/>
      <c r="D2081" s="6"/>
      <c r="E2081" s="7" t="str">
        <f>IF($G2081="","",INDEX('EDS Lookup'!$F$6:$F$2819,$G2081))</f>
        <v/>
      </c>
      <c r="F2081" s="8" t="str">
        <f>IF($G2081="","",INDEX('EDS Lookup'!$G$6:$G$2819,$G2081))</f>
        <v/>
      </c>
      <c r="G2081" t="str">
        <f>IF(2058&lt;=$B$4,IFERROR(MATCH(2058,'EDS Lookup'!$H$6:$H$2819,0),""),"")</f>
        <v/>
      </c>
      <c r="H2081" t="str">
        <f t="shared" si="32"/>
        <v/>
      </c>
    </row>
    <row r="2082" spans="1:8" ht="19.95" customHeight="1">
      <c r="A2082" s="5" t="str">
        <f>IF($G2082="","",INDEX('EDS Lookup'!$D$6:$D$2819,$G2082))</f>
        <v/>
      </c>
      <c r="B2082" s="5" t="str">
        <f>IF($G2082="","",INDEX('EDS Lookup'!$B$6:$B$2819,$G2082))</f>
        <v/>
      </c>
      <c r="C2082" s="17"/>
      <c r="D2082" s="6"/>
      <c r="E2082" s="7" t="str">
        <f>IF($G2082="","",INDEX('EDS Lookup'!$F$6:$F$2819,$G2082))</f>
        <v/>
      </c>
      <c r="F2082" s="8" t="str">
        <f>IF($G2082="","",INDEX('EDS Lookup'!$G$6:$G$2819,$G2082))</f>
        <v/>
      </c>
      <c r="G2082" t="str">
        <f>IF(2059&lt;=$B$4,IFERROR(MATCH(2059,'EDS Lookup'!$H$6:$H$2819,0),""),"")</f>
        <v/>
      </c>
      <c r="H2082" t="str">
        <f t="shared" si="32"/>
        <v/>
      </c>
    </row>
    <row r="2083" spans="1:8" ht="19.95" customHeight="1">
      <c r="A2083" s="5" t="str">
        <f>IF($G2083="","",INDEX('EDS Lookup'!$D$6:$D$2819,$G2083))</f>
        <v/>
      </c>
      <c r="B2083" s="5" t="str">
        <f>IF($G2083="","",INDEX('EDS Lookup'!$B$6:$B$2819,$G2083))</f>
        <v/>
      </c>
      <c r="C2083" s="17"/>
      <c r="D2083" s="6"/>
      <c r="E2083" s="7" t="str">
        <f>IF($G2083="","",INDEX('EDS Lookup'!$F$6:$F$2819,$G2083))</f>
        <v/>
      </c>
      <c r="F2083" s="8" t="str">
        <f>IF($G2083="","",INDEX('EDS Lookup'!$G$6:$G$2819,$G2083))</f>
        <v/>
      </c>
      <c r="G2083" t="str">
        <f>IF(2060&lt;=$B$4,IFERROR(MATCH(2060,'EDS Lookup'!$H$6:$H$2819,0),""),"")</f>
        <v/>
      </c>
      <c r="H2083" t="str">
        <f t="shared" si="32"/>
        <v/>
      </c>
    </row>
    <row r="2084" spans="1:8" ht="19.95" customHeight="1">
      <c r="A2084" s="5" t="str">
        <f>IF($G2084="","",INDEX('EDS Lookup'!$D$6:$D$2819,$G2084))</f>
        <v/>
      </c>
      <c r="B2084" s="5" t="str">
        <f>IF($G2084="","",INDEX('EDS Lookup'!$B$6:$B$2819,$G2084))</f>
        <v/>
      </c>
      <c r="C2084" s="17"/>
      <c r="D2084" s="6"/>
      <c r="E2084" s="7" t="str">
        <f>IF($G2084="","",INDEX('EDS Lookup'!$F$6:$F$2819,$G2084))</f>
        <v/>
      </c>
      <c r="F2084" s="8" t="str">
        <f>IF($G2084="","",INDEX('EDS Lookup'!$G$6:$G$2819,$G2084))</f>
        <v/>
      </c>
      <c r="G2084" t="str">
        <f>IF(2061&lt;=$B$4,IFERROR(MATCH(2061,'EDS Lookup'!$H$6:$H$2819,0),""),"")</f>
        <v/>
      </c>
      <c r="H2084" t="str">
        <f t="shared" si="32"/>
        <v/>
      </c>
    </row>
    <row r="2085" spans="1:8" ht="19.95" customHeight="1">
      <c r="A2085" s="5" t="str">
        <f>IF($G2085="","",INDEX('EDS Lookup'!$D$6:$D$2819,$G2085))</f>
        <v/>
      </c>
      <c r="B2085" s="5" t="str">
        <f>IF($G2085="","",INDEX('EDS Lookup'!$B$6:$B$2819,$G2085))</f>
        <v/>
      </c>
      <c r="C2085" s="17"/>
      <c r="D2085" s="6"/>
      <c r="E2085" s="7" t="str">
        <f>IF($G2085="","",INDEX('EDS Lookup'!$F$6:$F$2819,$G2085))</f>
        <v/>
      </c>
      <c r="F2085" s="8" t="str">
        <f>IF($G2085="","",INDEX('EDS Lookup'!$G$6:$G$2819,$G2085))</f>
        <v/>
      </c>
      <c r="G2085" t="str">
        <f>IF(2062&lt;=$B$4,IFERROR(MATCH(2062,'EDS Lookup'!$H$6:$H$2819,0),""),"")</f>
        <v/>
      </c>
      <c r="H2085" t="str">
        <f t="shared" si="32"/>
        <v/>
      </c>
    </row>
    <row r="2086" spans="1:8" ht="19.95" customHeight="1">
      <c r="A2086" s="5" t="str">
        <f>IF($G2086="","",INDEX('EDS Lookup'!$D$6:$D$2819,$G2086))</f>
        <v/>
      </c>
      <c r="B2086" s="5" t="str">
        <f>IF($G2086="","",INDEX('EDS Lookup'!$B$6:$B$2819,$G2086))</f>
        <v/>
      </c>
      <c r="C2086" s="17"/>
      <c r="D2086" s="6"/>
      <c r="E2086" s="7" t="str">
        <f>IF($G2086="","",INDEX('EDS Lookup'!$F$6:$F$2819,$G2086))</f>
        <v/>
      </c>
      <c r="F2086" s="8" t="str">
        <f>IF($G2086="","",INDEX('EDS Lookup'!$G$6:$G$2819,$G2086))</f>
        <v/>
      </c>
      <c r="G2086" t="str">
        <f>IF(2063&lt;=$B$4,IFERROR(MATCH(2063,'EDS Lookup'!$H$6:$H$2819,0),""),"")</f>
        <v/>
      </c>
      <c r="H2086" t="str">
        <f t="shared" si="32"/>
        <v/>
      </c>
    </row>
    <row r="2087" spans="1:8" ht="19.95" customHeight="1">
      <c r="A2087" s="5" t="str">
        <f>IF($G2087="","",INDEX('EDS Lookup'!$D$6:$D$2819,$G2087))</f>
        <v/>
      </c>
      <c r="B2087" s="5" t="str">
        <f>IF($G2087="","",INDEX('EDS Lookup'!$B$6:$B$2819,$G2087))</f>
        <v/>
      </c>
      <c r="C2087" s="17"/>
      <c r="D2087" s="6"/>
      <c r="E2087" s="7" t="str">
        <f>IF($G2087="","",INDEX('EDS Lookup'!$F$6:$F$2819,$G2087))</f>
        <v/>
      </c>
      <c r="F2087" s="8" t="str">
        <f>IF($G2087="","",INDEX('EDS Lookup'!$G$6:$G$2819,$G2087))</f>
        <v/>
      </c>
      <c r="G2087" t="str">
        <f>IF(2064&lt;=$B$4,IFERROR(MATCH(2064,'EDS Lookup'!$H$6:$H$2819,0),""),"")</f>
        <v/>
      </c>
      <c r="H2087" t="str">
        <f t="shared" si="32"/>
        <v/>
      </c>
    </row>
    <row r="2088" spans="1:8" ht="19.95" customHeight="1">
      <c r="A2088" s="5" t="str">
        <f>IF($G2088="","",INDEX('EDS Lookup'!$D$6:$D$2819,$G2088))</f>
        <v/>
      </c>
      <c r="B2088" s="5" t="str">
        <f>IF($G2088="","",INDEX('EDS Lookup'!$B$6:$B$2819,$G2088))</f>
        <v/>
      </c>
      <c r="C2088" s="17"/>
      <c r="D2088" s="6"/>
      <c r="E2088" s="7" t="str">
        <f>IF($G2088="","",INDEX('EDS Lookup'!$F$6:$F$2819,$G2088))</f>
        <v/>
      </c>
      <c r="F2088" s="8" t="str">
        <f>IF($G2088="","",INDEX('EDS Lookup'!$G$6:$G$2819,$G2088))</f>
        <v/>
      </c>
      <c r="G2088" t="str">
        <f>IF(2065&lt;=$B$4,IFERROR(MATCH(2065,'EDS Lookup'!$H$6:$H$2819,0),""),"")</f>
        <v/>
      </c>
      <c r="H2088" t="str">
        <f t="shared" si="32"/>
        <v/>
      </c>
    </row>
    <row r="2089" spans="1:8" ht="19.95" customHeight="1">
      <c r="A2089" s="5" t="str">
        <f>IF($G2089="","",INDEX('EDS Lookup'!$D$6:$D$2819,$G2089))</f>
        <v/>
      </c>
      <c r="B2089" s="5" t="str">
        <f>IF($G2089="","",INDEX('EDS Lookup'!$B$6:$B$2819,$G2089))</f>
        <v/>
      </c>
      <c r="C2089" s="17"/>
      <c r="D2089" s="6"/>
      <c r="E2089" s="7" t="str">
        <f>IF($G2089="","",INDEX('EDS Lookup'!$F$6:$F$2819,$G2089))</f>
        <v/>
      </c>
      <c r="F2089" s="8" t="str">
        <f>IF($G2089="","",INDEX('EDS Lookup'!$G$6:$G$2819,$G2089))</f>
        <v/>
      </c>
      <c r="G2089" t="str">
        <f>IF(2066&lt;=$B$4,IFERROR(MATCH(2066,'EDS Lookup'!$H$6:$H$2819,0),""),"")</f>
        <v/>
      </c>
      <c r="H2089" t="str">
        <f t="shared" si="32"/>
        <v/>
      </c>
    </row>
    <row r="2090" spans="1:8" ht="19.95" customHeight="1">
      <c r="A2090" s="5" t="str">
        <f>IF($G2090="","",INDEX('EDS Lookup'!$D$6:$D$2819,$G2090))</f>
        <v/>
      </c>
      <c r="B2090" s="5" t="str">
        <f>IF($G2090="","",INDEX('EDS Lookup'!$B$6:$B$2819,$G2090))</f>
        <v/>
      </c>
      <c r="C2090" s="17"/>
      <c r="D2090" s="6"/>
      <c r="E2090" s="7" t="str">
        <f>IF($G2090="","",INDEX('EDS Lookup'!$F$6:$F$2819,$G2090))</f>
        <v/>
      </c>
      <c r="F2090" s="8" t="str">
        <f>IF($G2090="","",INDEX('EDS Lookup'!$G$6:$G$2819,$G2090))</f>
        <v/>
      </c>
      <c r="G2090" t="str">
        <f>IF(2067&lt;=$B$4,IFERROR(MATCH(2067,'EDS Lookup'!$H$6:$H$2819,0),""),"")</f>
        <v/>
      </c>
      <c r="H2090" t="str">
        <f t="shared" si="32"/>
        <v/>
      </c>
    </row>
    <row r="2091" spans="1:8" ht="19.95" customHeight="1">
      <c r="A2091" s="5" t="str">
        <f>IF($G2091="","",INDEX('EDS Lookup'!$D$6:$D$2819,$G2091))</f>
        <v/>
      </c>
      <c r="B2091" s="5" t="str">
        <f>IF($G2091="","",INDEX('EDS Lookup'!$B$6:$B$2819,$G2091))</f>
        <v/>
      </c>
      <c r="C2091" s="17"/>
      <c r="D2091" s="6"/>
      <c r="E2091" s="7" t="str">
        <f>IF($G2091="","",INDEX('EDS Lookup'!$F$6:$F$2819,$G2091))</f>
        <v/>
      </c>
      <c r="F2091" s="8" t="str">
        <f>IF($G2091="","",INDEX('EDS Lookup'!$G$6:$G$2819,$G2091))</f>
        <v/>
      </c>
      <c r="G2091" t="str">
        <f>IF(2068&lt;=$B$4,IFERROR(MATCH(2068,'EDS Lookup'!$H$6:$H$2819,0),""),"")</f>
        <v/>
      </c>
      <c r="H2091" t="str">
        <f t="shared" si="32"/>
        <v/>
      </c>
    </row>
    <row r="2092" spans="1:8" ht="19.95" customHeight="1">
      <c r="A2092" s="5" t="str">
        <f>IF($G2092="","",INDEX('EDS Lookup'!$D$6:$D$2819,$G2092))</f>
        <v/>
      </c>
      <c r="B2092" s="5" t="str">
        <f>IF($G2092="","",INDEX('EDS Lookup'!$B$6:$B$2819,$G2092))</f>
        <v/>
      </c>
      <c r="C2092" s="17"/>
      <c r="D2092" s="6"/>
      <c r="E2092" s="7" t="str">
        <f>IF($G2092="","",INDEX('EDS Lookup'!$F$6:$F$2819,$G2092))</f>
        <v/>
      </c>
      <c r="F2092" s="8" t="str">
        <f>IF($G2092="","",INDEX('EDS Lookup'!$G$6:$G$2819,$G2092))</f>
        <v/>
      </c>
      <c r="G2092" t="str">
        <f>IF(2069&lt;=$B$4,IFERROR(MATCH(2069,'EDS Lookup'!$H$6:$H$2819,0),""),"")</f>
        <v/>
      </c>
      <c r="H2092" t="str">
        <f t="shared" si="32"/>
        <v/>
      </c>
    </row>
    <row r="2093" spans="1:8" ht="19.95" customHeight="1">
      <c r="A2093" s="5" t="str">
        <f>IF($G2093="","",INDEX('EDS Lookup'!$D$6:$D$2819,$G2093))</f>
        <v/>
      </c>
      <c r="B2093" s="5" t="str">
        <f>IF($G2093="","",INDEX('EDS Lookup'!$B$6:$B$2819,$G2093))</f>
        <v/>
      </c>
      <c r="C2093" s="17"/>
      <c r="D2093" s="6"/>
      <c r="E2093" s="7" t="str">
        <f>IF($G2093="","",INDEX('EDS Lookup'!$F$6:$F$2819,$G2093))</f>
        <v/>
      </c>
      <c r="F2093" s="8" t="str">
        <f>IF($G2093="","",INDEX('EDS Lookup'!$G$6:$G$2819,$G2093))</f>
        <v/>
      </c>
      <c r="G2093" t="str">
        <f>IF(2070&lt;=$B$4,IFERROR(MATCH(2070,'EDS Lookup'!$H$6:$H$2819,0),""),"")</f>
        <v/>
      </c>
      <c r="H2093" t="str">
        <f t="shared" si="32"/>
        <v/>
      </c>
    </row>
    <row r="2094" spans="1:8" ht="19.95" customHeight="1">
      <c r="A2094" s="5" t="str">
        <f>IF($G2094="","",INDEX('EDS Lookup'!$D$6:$D$2819,$G2094))</f>
        <v/>
      </c>
      <c r="B2094" s="5" t="str">
        <f>IF($G2094="","",INDEX('EDS Lookup'!$B$6:$B$2819,$G2094))</f>
        <v/>
      </c>
      <c r="C2094" s="17"/>
      <c r="D2094" s="6"/>
      <c r="E2094" s="7" t="str">
        <f>IF($G2094="","",INDEX('EDS Lookup'!$F$6:$F$2819,$G2094))</f>
        <v/>
      </c>
      <c r="F2094" s="8" t="str">
        <f>IF($G2094="","",INDEX('EDS Lookup'!$G$6:$G$2819,$G2094))</f>
        <v/>
      </c>
      <c r="G2094" t="str">
        <f>IF(2071&lt;=$B$4,IFERROR(MATCH(2071,'EDS Lookup'!$H$6:$H$2819,0),""),"")</f>
        <v/>
      </c>
      <c r="H2094" t="str">
        <f t="shared" si="32"/>
        <v/>
      </c>
    </row>
    <row r="2095" spans="1:8" ht="19.95" customHeight="1">
      <c r="A2095" s="5" t="str">
        <f>IF($G2095="","",INDEX('EDS Lookup'!$D$6:$D$2819,$G2095))</f>
        <v/>
      </c>
      <c r="B2095" s="5" t="str">
        <f>IF($G2095="","",INDEX('EDS Lookup'!$B$6:$B$2819,$G2095))</f>
        <v/>
      </c>
      <c r="C2095" s="17"/>
      <c r="D2095" s="6"/>
      <c r="E2095" s="7" t="str">
        <f>IF($G2095="","",INDEX('EDS Lookup'!$F$6:$F$2819,$G2095))</f>
        <v/>
      </c>
      <c r="F2095" s="8" t="str">
        <f>IF($G2095="","",INDEX('EDS Lookup'!$G$6:$G$2819,$G2095))</f>
        <v/>
      </c>
      <c r="G2095" t="str">
        <f>IF(2072&lt;=$B$4,IFERROR(MATCH(2072,'EDS Lookup'!$H$6:$H$2819,0),""),"")</f>
        <v/>
      </c>
      <c r="H2095" t="str">
        <f t="shared" si="32"/>
        <v/>
      </c>
    </row>
    <row r="2096" spans="1:8" ht="19.95" customHeight="1">
      <c r="A2096" s="5" t="str">
        <f>IF($G2096="","",INDEX('EDS Lookup'!$D$6:$D$2819,$G2096))</f>
        <v/>
      </c>
      <c r="B2096" s="5" t="str">
        <f>IF($G2096="","",INDEX('EDS Lookup'!$B$6:$B$2819,$G2096))</f>
        <v/>
      </c>
      <c r="C2096" s="17"/>
      <c r="D2096" s="6"/>
      <c r="E2096" s="7" t="str">
        <f>IF($G2096="","",INDEX('EDS Lookup'!$F$6:$F$2819,$G2096))</f>
        <v/>
      </c>
      <c r="F2096" s="8" t="str">
        <f>IF($G2096="","",INDEX('EDS Lookup'!$G$6:$G$2819,$G2096))</f>
        <v/>
      </c>
      <c r="G2096" t="str">
        <f>IF(2073&lt;=$B$4,IFERROR(MATCH(2073,'EDS Lookup'!$H$6:$H$2819,0),""),"")</f>
        <v/>
      </c>
      <c r="H2096" t="str">
        <f t="shared" si="32"/>
        <v/>
      </c>
    </row>
    <row r="2097" spans="1:8" ht="19.95" customHeight="1">
      <c r="A2097" s="5" t="str">
        <f>IF($G2097="","",INDEX('EDS Lookup'!$D$6:$D$2819,$G2097))</f>
        <v/>
      </c>
      <c r="B2097" s="5" t="str">
        <f>IF($G2097="","",INDEX('EDS Lookup'!$B$6:$B$2819,$G2097))</f>
        <v/>
      </c>
      <c r="C2097" s="17"/>
      <c r="D2097" s="6"/>
      <c r="E2097" s="7" t="str">
        <f>IF($G2097="","",INDEX('EDS Lookup'!$F$6:$F$2819,$G2097))</f>
        <v/>
      </c>
      <c r="F2097" s="8" t="str">
        <f>IF($G2097="","",INDEX('EDS Lookup'!$G$6:$G$2819,$G2097))</f>
        <v/>
      </c>
      <c r="G2097" t="str">
        <f>IF(2074&lt;=$B$4,IFERROR(MATCH(2074,'EDS Lookup'!$H$6:$H$2819,0),""),"")</f>
        <v/>
      </c>
      <c r="H2097" t="str">
        <f t="shared" si="32"/>
        <v/>
      </c>
    </row>
    <row r="2098" spans="1:8" ht="19.95" customHeight="1">
      <c r="A2098" s="5" t="str">
        <f>IF($G2098="","",INDEX('EDS Lookup'!$D$6:$D$2819,$G2098))</f>
        <v/>
      </c>
      <c r="B2098" s="5" t="str">
        <f>IF($G2098="","",INDEX('EDS Lookup'!$B$6:$B$2819,$G2098))</f>
        <v/>
      </c>
      <c r="C2098" s="17"/>
      <c r="D2098" s="6"/>
      <c r="E2098" s="7" t="str">
        <f>IF($G2098="","",INDEX('EDS Lookup'!$F$6:$F$2819,$G2098))</f>
        <v/>
      </c>
      <c r="F2098" s="8" t="str">
        <f>IF($G2098="","",INDEX('EDS Lookup'!$G$6:$G$2819,$G2098))</f>
        <v/>
      </c>
      <c r="G2098" t="str">
        <f>IF(2075&lt;=$B$4,IFERROR(MATCH(2075,'EDS Lookup'!$H$6:$H$2819,0),""),"")</f>
        <v/>
      </c>
      <c r="H2098" t="str">
        <f t="shared" si="32"/>
        <v/>
      </c>
    </row>
    <row r="2099" spans="1:8" ht="19.95" customHeight="1">
      <c r="A2099" s="5" t="str">
        <f>IF($G2099="","",INDEX('EDS Lookup'!$D$6:$D$2819,$G2099))</f>
        <v/>
      </c>
      <c r="B2099" s="5" t="str">
        <f>IF($G2099="","",INDEX('EDS Lookup'!$B$6:$B$2819,$G2099))</f>
        <v/>
      </c>
      <c r="C2099" s="17"/>
      <c r="D2099" s="6"/>
      <c r="E2099" s="7" t="str">
        <f>IF($G2099="","",INDEX('EDS Lookup'!$F$6:$F$2819,$G2099))</f>
        <v/>
      </c>
      <c r="F2099" s="8" t="str">
        <f>IF($G2099="","",INDEX('EDS Lookup'!$G$6:$G$2819,$G2099))</f>
        <v/>
      </c>
      <c r="G2099" t="str">
        <f>IF(2076&lt;=$B$4,IFERROR(MATCH(2076,'EDS Lookup'!$H$6:$H$2819,0),""),"")</f>
        <v/>
      </c>
      <c r="H2099" t="str">
        <f t="shared" si="32"/>
        <v/>
      </c>
    </row>
    <row r="2100" spans="1:8" ht="19.95" customHeight="1">
      <c r="A2100" s="5" t="str">
        <f>IF($G2100="","",INDEX('EDS Lookup'!$D$6:$D$2819,$G2100))</f>
        <v/>
      </c>
      <c r="B2100" s="5" t="str">
        <f>IF($G2100="","",INDEX('EDS Lookup'!$B$6:$B$2819,$G2100))</f>
        <v/>
      </c>
      <c r="C2100" s="17"/>
      <c r="D2100" s="6"/>
      <c r="E2100" s="7" t="str">
        <f>IF($G2100="","",INDEX('EDS Lookup'!$F$6:$F$2819,$G2100))</f>
        <v/>
      </c>
      <c r="F2100" s="8" t="str">
        <f>IF($G2100="","",INDEX('EDS Lookup'!$G$6:$G$2819,$G2100))</f>
        <v/>
      </c>
      <c r="G2100" t="str">
        <f>IF(2077&lt;=$B$4,IFERROR(MATCH(2077,'EDS Lookup'!$H$6:$H$2819,0),""),"")</f>
        <v/>
      </c>
      <c r="H2100" t="str">
        <f t="shared" si="32"/>
        <v/>
      </c>
    </row>
    <row r="2101" spans="1:8" ht="19.95" customHeight="1">
      <c r="A2101" s="5" t="str">
        <f>IF($G2101="","",INDEX('EDS Lookup'!$D$6:$D$2819,$G2101))</f>
        <v/>
      </c>
      <c r="B2101" s="5" t="str">
        <f>IF($G2101="","",INDEX('EDS Lookup'!$B$6:$B$2819,$G2101))</f>
        <v/>
      </c>
      <c r="C2101" s="17"/>
      <c r="D2101" s="6"/>
      <c r="E2101" s="7" t="str">
        <f>IF($G2101="","",INDEX('EDS Lookup'!$F$6:$F$2819,$G2101))</f>
        <v/>
      </c>
      <c r="F2101" s="8" t="str">
        <f>IF($G2101="","",INDEX('EDS Lookup'!$G$6:$G$2819,$G2101))</f>
        <v/>
      </c>
      <c r="G2101" t="str">
        <f>IF(2078&lt;=$B$4,IFERROR(MATCH(2078,'EDS Lookup'!$H$6:$H$2819,0),""),"")</f>
        <v/>
      </c>
      <c r="H2101" t="str">
        <f t="shared" si="32"/>
        <v/>
      </c>
    </row>
    <row r="2102" spans="1:8" ht="19.95" customHeight="1">
      <c r="A2102" s="5" t="str">
        <f>IF($G2102="","",INDEX('EDS Lookup'!$D$6:$D$2819,$G2102))</f>
        <v/>
      </c>
      <c r="B2102" s="5" t="str">
        <f>IF($G2102="","",INDEX('EDS Lookup'!$B$6:$B$2819,$G2102))</f>
        <v/>
      </c>
      <c r="C2102" s="17"/>
      <c r="D2102" s="6"/>
      <c r="E2102" s="7" t="str">
        <f>IF($G2102="","",INDEX('EDS Lookup'!$F$6:$F$2819,$G2102))</f>
        <v/>
      </c>
      <c r="F2102" s="8" t="str">
        <f>IF($G2102="","",INDEX('EDS Lookup'!$G$6:$G$2819,$G2102))</f>
        <v/>
      </c>
      <c r="G2102" t="str">
        <f>IF(2079&lt;=$B$4,IFERROR(MATCH(2079,'EDS Lookup'!$H$6:$H$2819,0),""),"")</f>
        <v/>
      </c>
      <c r="H2102" t="str">
        <f t="shared" si="32"/>
        <v/>
      </c>
    </row>
    <row r="2103" spans="1:8" ht="19.95" customHeight="1">
      <c r="A2103" s="5" t="str">
        <f>IF($G2103="","",INDEX('EDS Lookup'!$D$6:$D$2819,$G2103))</f>
        <v/>
      </c>
      <c r="B2103" s="5" t="str">
        <f>IF($G2103="","",INDEX('EDS Lookup'!$B$6:$B$2819,$G2103))</f>
        <v/>
      </c>
      <c r="C2103" s="17"/>
      <c r="D2103" s="6"/>
      <c r="E2103" s="7" t="str">
        <f>IF($G2103="","",INDEX('EDS Lookup'!$F$6:$F$2819,$G2103))</f>
        <v/>
      </c>
      <c r="F2103" s="8" t="str">
        <f>IF($G2103="","",INDEX('EDS Lookup'!$G$6:$G$2819,$G2103))</f>
        <v/>
      </c>
      <c r="G2103" t="str">
        <f>IF(2080&lt;=$B$4,IFERROR(MATCH(2080,'EDS Lookup'!$H$6:$H$2819,0),""),"")</f>
        <v/>
      </c>
      <c r="H2103" t="str">
        <f t="shared" si="32"/>
        <v/>
      </c>
    </row>
    <row r="2104" spans="1:8" ht="19.95" customHeight="1">
      <c r="A2104" s="5" t="str">
        <f>IF($G2104="","",INDEX('EDS Lookup'!$D$6:$D$2819,$G2104))</f>
        <v/>
      </c>
      <c r="B2104" s="5" t="str">
        <f>IF($G2104="","",INDEX('EDS Lookup'!$B$6:$B$2819,$G2104))</f>
        <v/>
      </c>
      <c r="C2104" s="17"/>
      <c r="D2104" s="6"/>
      <c r="E2104" s="7" t="str">
        <f>IF($G2104="","",INDEX('EDS Lookup'!$F$6:$F$2819,$G2104))</f>
        <v/>
      </c>
      <c r="F2104" s="8" t="str">
        <f>IF($G2104="","",INDEX('EDS Lookup'!$G$6:$G$2819,$G2104))</f>
        <v/>
      </c>
      <c r="G2104" t="str">
        <f>IF(2081&lt;=$B$4,IFERROR(MATCH(2081,'EDS Lookup'!$H$6:$H$2819,0),""),"")</f>
        <v/>
      </c>
      <c r="H2104" t="str">
        <f t="shared" si="32"/>
        <v/>
      </c>
    </row>
    <row r="2105" spans="1:8" ht="19.95" customHeight="1">
      <c r="A2105" s="5" t="str">
        <f>IF($G2105="","",INDEX('EDS Lookup'!$D$6:$D$2819,$G2105))</f>
        <v/>
      </c>
      <c r="B2105" s="5" t="str">
        <f>IF($G2105="","",INDEX('EDS Lookup'!$B$6:$B$2819,$G2105))</f>
        <v/>
      </c>
      <c r="C2105" s="17"/>
      <c r="D2105" s="6"/>
      <c r="E2105" s="7" t="str">
        <f>IF($G2105="","",INDEX('EDS Lookup'!$F$6:$F$2819,$G2105))</f>
        <v/>
      </c>
      <c r="F2105" s="8" t="str">
        <f>IF($G2105="","",INDEX('EDS Lookup'!$G$6:$G$2819,$G2105))</f>
        <v/>
      </c>
      <c r="G2105" t="str">
        <f>IF(2082&lt;=$B$4,IFERROR(MATCH(2082,'EDS Lookup'!$H$6:$H$2819,0),""),"")</f>
        <v/>
      </c>
      <c r="H2105" t="str">
        <f t="shared" si="32"/>
        <v/>
      </c>
    </row>
    <row r="2106" spans="1:8" ht="19.95" customHeight="1">
      <c r="A2106" s="5" t="str">
        <f>IF($G2106="","",INDEX('EDS Lookup'!$D$6:$D$2819,$G2106))</f>
        <v/>
      </c>
      <c r="B2106" s="5" t="str">
        <f>IF($G2106="","",INDEX('EDS Lookup'!$B$6:$B$2819,$G2106))</f>
        <v/>
      </c>
      <c r="C2106" s="17"/>
      <c r="D2106" s="6"/>
      <c r="E2106" s="7" t="str">
        <f>IF($G2106="","",INDEX('EDS Lookup'!$F$6:$F$2819,$G2106))</f>
        <v/>
      </c>
      <c r="F2106" s="8" t="str">
        <f>IF($G2106="","",INDEX('EDS Lookup'!$G$6:$G$2819,$G2106))</f>
        <v/>
      </c>
      <c r="G2106" t="str">
        <f>IF(2083&lt;=$B$4,IFERROR(MATCH(2083,'EDS Lookup'!$H$6:$H$2819,0),""),"")</f>
        <v/>
      </c>
      <c r="H2106" t="str">
        <f t="shared" si="32"/>
        <v/>
      </c>
    </row>
    <row r="2107" spans="1:8" ht="19.95" customHeight="1">
      <c r="A2107" s="5" t="str">
        <f>IF($G2107="","",INDEX('EDS Lookup'!$D$6:$D$2819,$G2107))</f>
        <v/>
      </c>
      <c r="B2107" s="5" t="str">
        <f>IF($G2107="","",INDEX('EDS Lookup'!$B$6:$B$2819,$G2107))</f>
        <v/>
      </c>
      <c r="C2107" s="17"/>
      <c r="D2107" s="6"/>
      <c r="E2107" s="7" t="str">
        <f>IF($G2107="","",INDEX('EDS Lookup'!$F$6:$F$2819,$G2107))</f>
        <v/>
      </c>
      <c r="F2107" s="8" t="str">
        <f>IF($G2107="","",INDEX('EDS Lookup'!$G$6:$G$2819,$G2107))</f>
        <v/>
      </c>
      <c r="G2107" t="str">
        <f>IF(2084&lt;=$B$4,IFERROR(MATCH(2084,'EDS Lookup'!$H$6:$H$2819,0),""),"")</f>
        <v/>
      </c>
      <c r="H2107" t="str">
        <f t="shared" si="32"/>
        <v/>
      </c>
    </row>
    <row r="2108" spans="1:8" ht="19.95" customHeight="1">
      <c r="A2108" s="5" t="str">
        <f>IF($G2108="","",INDEX('EDS Lookup'!$D$6:$D$2819,$G2108))</f>
        <v/>
      </c>
      <c r="B2108" s="5" t="str">
        <f>IF($G2108="","",INDEX('EDS Lookup'!$B$6:$B$2819,$G2108))</f>
        <v/>
      </c>
      <c r="C2108" s="17"/>
      <c r="D2108" s="6"/>
      <c r="E2108" s="7" t="str">
        <f>IF($G2108="","",INDEX('EDS Lookup'!$F$6:$F$2819,$G2108))</f>
        <v/>
      </c>
      <c r="F2108" s="8" t="str">
        <f>IF($G2108="","",INDEX('EDS Lookup'!$G$6:$G$2819,$G2108))</f>
        <v/>
      </c>
      <c r="G2108" t="str">
        <f>IF(2085&lt;=$B$4,IFERROR(MATCH(2085,'EDS Lookup'!$H$6:$H$2819,0),""),"")</f>
        <v/>
      </c>
      <c r="H2108" t="str">
        <f t="shared" si="32"/>
        <v/>
      </c>
    </row>
    <row r="2109" spans="1:8" ht="19.95" customHeight="1">
      <c r="A2109" s="5" t="str">
        <f>IF($G2109="","",INDEX('EDS Lookup'!$D$6:$D$2819,$G2109))</f>
        <v/>
      </c>
      <c r="B2109" s="5" t="str">
        <f>IF($G2109="","",INDEX('EDS Lookup'!$B$6:$B$2819,$G2109))</f>
        <v/>
      </c>
      <c r="C2109" s="17"/>
      <c r="D2109" s="6"/>
      <c r="E2109" s="7" t="str">
        <f>IF($G2109="","",INDEX('EDS Lookup'!$F$6:$F$2819,$G2109))</f>
        <v/>
      </c>
      <c r="F2109" s="8" t="str">
        <f>IF($G2109="","",INDEX('EDS Lookup'!$G$6:$G$2819,$G2109))</f>
        <v/>
      </c>
      <c r="G2109" t="str">
        <f>IF(2086&lt;=$B$4,IFERROR(MATCH(2086,'EDS Lookup'!$H$6:$H$2819,0),""),"")</f>
        <v/>
      </c>
      <c r="H2109" t="str">
        <f t="shared" si="32"/>
        <v/>
      </c>
    </row>
    <row r="2110" spans="1:8" ht="19.95" customHeight="1">
      <c r="A2110" s="5" t="str">
        <f>IF($G2110="","",INDEX('EDS Lookup'!$D$6:$D$2819,$G2110))</f>
        <v/>
      </c>
      <c r="B2110" s="5" t="str">
        <f>IF($G2110="","",INDEX('EDS Lookup'!$B$6:$B$2819,$G2110))</f>
        <v/>
      </c>
      <c r="C2110" s="17"/>
      <c r="D2110" s="6"/>
      <c r="E2110" s="7" t="str">
        <f>IF($G2110="","",INDEX('EDS Lookup'!$F$6:$F$2819,$G2110))</f>
        <v/>
      </c>
      <c r="F2110" s="8" t="str">
        <f>IF($G2110="","",INDEX('EDS Lookup'!$G$6:$G$2819,$G2110))</f>
        <v/>
      </c>
      <c r="G2110" t="str">
        <f>IF(2087&lt;=$B$4,IFERROR(MATCH(2087,'EDS Lookup'!$H$6:$H$2819,0),""),"")</f>
        <v/>
      </c>
      <c r="H2110" t="str">
        <f t="shared" si="32"/>
        <v/>
      </c>
    </row>
    <row r="2111" spans="1:8" ht="19.95" customHeight="1">
      <c r="A2111" s="5" t="str">
        <f>IF($G2111="","",INDEX('EDS Lookup'!$D$6:$D$2819,$G2111))</f>
        <v/>
      </c>
      <c r="B2111" s="5" t="str">
        <f>IF($G2111="","",INDEX('EDS Lookup'!$B$6:$B$2819,$G2111))</f>
        <v/>
      </c>
      <c r="C2111" s="17"/>
      <c r="D2111" s="6"/>
      <c r="E2111" s="7" t="str">
        <f>IF($G2111="","",INDEX('EDS Lookup'!$F$6:$F$2819,$G2111))</f>
        <v/>
      </c>
      <c r="F2111" s="8" t="str">
        <f>IF($G2111="","",INDEX('EDS Lookup'!$G$6:$G$2819,$G2111))</f>
        <v/>
      </c>
      <c r="G2111" t="str">
        <f>IF(2088&lt;=$B$4,IFERROR(MATCH(2088,'EDS Lookup'!$H$6:$H$2819,0),""),"")</f>
        <v/>
      </c>
      <c r="H2111" t="str">
        <f t="shared" si="32"/>
        <v/>
      </c>
    </row>
    <row r="2112" spans="1:8" ht="19.95" customHeight="1">
      <c r="A2112" s="5" t="str">
        <f>IF($G2112="","",INDEX('EDS Lookup'!$D$6:$D$2819,$G2112))</f>
        <v/>
      </c>
      <c r="B2112" s="5" t="str">
        <f>IF($G2112="","",INDEX('EDS Lookup'!$B$6:$B$2819,$G2112))</f>
        <v/>
      </c>
      <c r="C2112" s="17"/>
      <c r="D2112" s="6"/>
      <c r="E2112" s="7" t="str">
        <f>IF($G2112="","",INDEX('EDS Lookup'!$F$6:$F$2819,$G2112))</f>
        <v/>
      </c>
      <c r="F2112" s="8" t="str">
        <f>IF($G2112="","",INDEX('EDS Lookup'!$G$6:$G$2819,$G2112))</f>
        <v/>
      </c>
      <c r="G2112" t="str">
        <f>IF(2089&lt;=$B$4,IFERROR(MATCH(2089,'EDS Lookup'!$H$6:$H$2819,0),""),"")</f>
        <v/>
      </c>
      <c r="H2112" t="str">
        <f t="shared" si="32"/>
        <v/>
      </c>
    </row>
    <row r="2113" spans="1:8" ht="19.95" customHeight="1">
      <c r="A2113" s="5" t="str">
        <f>IF($G2113="","",INDEX('EDS Lookup'!$D$6:$D$2819,$G2113))</f>
        <v/>
      </c>
      <c r="B2113" s="5" t="str">
        <f>IF($G2113="","",INDEX('EDS Lookup'!$B$6:$B$2819,$G2113))</f>
        <v/>
      </c>
      <c r="C2113" s="17"/>
      <c r="D2113" s="6"/>
      <c r="E2113" s="7" t="str">
        <f>IF($G2113="","",INDEX('EDS Lookup'!$F$6:$F$2819,$G2113))</f>
        <v/>
      </c>
      <c r="F2113" s="8" t="str">
        <f>IF($G2113="","",INDEX('EDS Lookup'!$G$6:$G$2819,$G2113))</f>
        <v/>
      </c>
      <c r="G2113" t="str">
        <f>IF(2090&lt;=$B$4,IFERROR(MATCH(2090,'EDS Lookup'!$H$6:$H$2819,0),""),"")</f>
        <v/>
      </c>
      <c r="H2113" t="str">
        <f t="shared" si="32"/>
        <v/>
      </c>
    </row>
    <row r="2114" spans="1:8" ht="19.95" customHeight="1">
      <c r="A2114" s="5" t="str">
        <f>IF($G2114="","",INDEX('EDS Lookup'!$D$6:$D$2819,$G2114))</f>
        <v/>
      </c>
      <c r="B2114" s="5" t="str">
        <f>IF($G2114="","",INDEX('EDS Lookup'!$B$6:$B$2819,$G2114))</f>
        <v/>
      </c>
      <c r="C2114" s="17"/>
      <c r="D2114" s="6"/>
      <c r="E2114" s="7" t="str">
        <f>IF($G2114="","",INDEX('EDS Lookup'!$F$6:$F$2819,$G2114))</f>
        <v/>
      </c>
      <c r="F2114" s="8" t="str">
        <f>IF($G2114="","",INDEX('EDS Lookup'!$G$6:$G$2819,$G2114))</f>
        <v/>
      </c>
      <c r="G2114" t="str">
        <f>IF(2091&lt;=$B$4,IFERROR(MATCH(2091,'EDS Lookup'!$H$6:$H$2819,0),""),"")</f>
        <v/>
      </c>
      <c r="H2114" t="str">
        <f t="shared" si="32"/>
        <v/>
      </c>
    </row>
    <row r="2115" spans="1:8" ht="19.95" customHeight="1">
      <c r="A2115" s="5" t="str">
        <f>IF($G2115="","",INDEX('EDS Lookup'!$D$6:$D$2819,$G2115))</f>
        <v/>
      </c>
      <c r="B2115" s="5" t="str">
        <f>IF($G2115="","",INDEX('EDS Lookup'!$B$6:$B$2819,$G2115))</f>
        <v/>
      </c>
      <c r="C2115" s="17"/>
      <c r="D2115" s="6"/>
      <c r="E2115" s="7" t="str">
        <f>IF($G2115="","",INDEX('EDS Lookup'!$F$6:$F$2819,$G2115))</f>
        <v/>
      </c>
      <c r="F2115" s="8" t="str">
        <f>IF($G2115="","",INDEX('EDS Lookup'!$G$6:$G$2819,$G2115))</f>
        <v/>
      </c>
      <c r="G2115" t="str">
        <f>IF(2092&lt;=$B$4,IFERROR(MATCH(2092,'EDS Lookup'!$H$6:$H$2819,0),""),"")</f>
        <v/>
      </c>
      <c r="H2115" t="str">
        <f t="shared" si="32"/>
        <v/>
      </c>
    </row>
    <row r="2116" spans="1:8" ht="19.95" customHeight="1">
      <c r="A2116" s="5" t="str">
        <f>IF($G2116="","",INDEX('EDS Lookup'!$D$6:$D$2819,$G2116))</f>
        <v/>
      </c>
      <c r="B2116" s="5" t="str">
        <f>IF($G2116="","",INDEX('EDS Lookup'!$B$6:$B$2819,$G2116))</f>
        <v/>
      </c>
      <c r="C2116" s="17"/>
      <c r="D2116" s="6"/>
      <c r="E2116" s="7" t="str">
        <f>IF($G2116="","",INDEX('EDS Lookup'!$F$6:$F$2819,$G2116))</f>
        <v/>
      </c>
      <c r="F2116" s="8" t="str">
        <f>IF($G2116="","",INDEX('EDS Lookup'!$G$6:$G$2819,$G2116))</f>
        <v/>
      </c>
      <c r="G2116" t="str">
        <f>IF(2093&lt;=$B$4,IFERROR(MATCH(2093,'EDS Lookup'!$H$6:$H$2819,0),""),"")</f>
        <v/>
      </c>
      <c r="H2116" t="str">
        <f t="shared" si="32"/>
        <v/>
      </c>
    </row>
    <row r="2117" spans="1:8" ht="19.95" customHeight="1">
      <c r="A2117" s="5" t="str">
        <f>IF($G2117="","",INDEX('EDS Lookup'!$D$6:$D$2819,$G2117))</f>
        <v/>
      </c>
      <c r="B2117" s="5" t="str">
        <f>IF($G2117="","",INDEX('EDS Lookup'!$B$6:$B$2819,$G2117))</f>
        <v/>
      </c>
      <c r="C2117" s="17"/>
      <c r="D2117" s="6"/>
      <c r="E2117" s="7" t="str">
        <f>IF($G2117="","",INDEX('EDS Lookup'!$F$6:$F$2819,$G2117))</f>
        <v/>
      </c>
      <c r="F2117" s="8" t="str">
        <f>IF($G2117="","",INDEX('EDS Lookup'!$G$6:$G$2819,$G2117))</f>
        <v/>
      </c>
      <c r="G2117" t="str">
        <f>IF(2094&lt;=$B$4,IFERROR(MATCH(2094,'EDS Lookup'!$H$6:$H$2819,0),""),"")</f>
        <v/>
      </c>
      <c r="H2117" t="str">
        <f t="shared" si="32"/>
        <v/>
      </c>
    </row>
    <row r="2118" spans="1:8" ht="19.95" customHeight="1">
      <c r="A2118" s="5" t="str">
        <f>IF($G2118="","",INDEX('EDS Lookup'!$D$6:$D$2819,$G2118))</f>
        <v/>
      </c>
      <c r="B2118" s="5" t="str">
        <f>IF($G2118="","",INDEX('EDS Lookup'!$B$6:$B$2819,$G2118))</f>
        <v/>
      </c>
      <c r="C2118" s="17"/>
      <c r="D2118" s="6"/>
      <c r="E2118" s="7" t="str">
        <f>IF($G2118="","",INDEX('EDS Lookup'!$F$6:$F$2819,$G2118))</f>
        <v/>
      </c>
      <c r="F2118" s="8" t="str">
        <f>IF($G2118="","",INDEX('EDS Lookup'!$G$6:$G$2819,$G2118))</f>
        <v/>
      </c>
      <c r="G2118" t="str">
        <f>IF(2095&lt;=$B$4,IFERROR(MATCH(2095,'EDS Lookup'!$H$6:$H$2819,0),""),"")</f>
        <v/>
      </c>
      <c r="H2118" t="str">
        <f t="shared" si="32"/>
        <v/>
      </c>
    </row>
    <row r="2119" spans="1:8" ht="19.95" customHeight="1">
      <c r="A2119" s="5" t="str">
        <f>IF($G2119="","",INDEX('EDS Lookup'!$D$6:$D$2819,$G2119))</f>
        <v/>
      </c>
      <c r="B2119" s="5" t="str">
        <f>IF($G2119="","",INDEX('EDS Lookup'!$B$6:$B$2819,$G2119))</f>
        <v/>
      </c>
      <c r="C2119" s="17"/>
      <c r="D2119" s="6"/>
      <c r="E2119" s="7" t="str">
        <f>IF($G2119="","",INDEX('EDS Lookup'!$F$6:$F$2819,$G2119))</f>
        <v/>
      </c>
      <c r="F2119" s="8" t="str">
        <f>IF($G2119="","",INDEX('EDS Lookup'!$G$6:$G$2819,$G2119))</f>
        <v/>
      </c>
      <c r="G2119" t="str">
        <f>IF(2096&lt;=$B$4,IFERROR(MATCH(2096,'EDS Lookup'!$H$6:$H$2819,0),""),"")</f>
        <v/>
      </c>
      <c r="H2119" t="str">
        <f t="shared" si="32"/>
        <v/>
      </c>
    </row>
    <row r="2120" spans="1:8" ht="19.95" customHeight="1">
      <c r="A2120" s="5" t="str">
        <f>IF($G2120="","",INDEX('EDS Lookup'!$D$6:$D$2819,$G2120))</f>
        <v/>
      </c>
      <c r="B2120" s="5" t="str">
        <f>IF($G2120="","",INDEX('EDS Lookup'!$B$6:$B$2819,$G2120))</f>
        <v/>
      </c>
      <c r="C2120" s="17"/>
      <c r="D2120" s="6"/>
      <c r="E2120" s="7" t="str">
        <f>IF($G2120="","",INDEX('EDS Lookup'!$F$6:$F$2819,$G2120))</f>
        <v/>
      </c>
      <c r="F2120" s="8" t="str">
        <f>IF($G2120="","",INDEX('EDS Lookup'!$G$6:$G$2819,$G2120))</f>
        <v/>
      </c>
      <c r="G2120" t="str">
        <f>IF(2097&lt;=$B$4,IFERROR(MATCH(2097,'EDS Lookup'!$H$6:$H$2819,0),""),"")</f>
        <v/>
      </c>
      <c r="H2120" t="str">
        <f t="shared" si="32"/>
        <v/>
      </c>
    </row>
    <row r="2121" spans="1:8" ht="19.95" customHeight="1">
      <c r="A2121" s="5" t="str">
        <f>IF($G2121="","",INDEX('EDS Lookup'!$D$6:$D$2819,$G2121))</f>
        <v/>
      </c>
      <c r="B2121" s="5" t="str">
        <f>IF($G2121="","",INDEX('EDS Lookup'!$B$6:$B$2819,$G2121))</f>
        <v/>
      </c>
      <c r="C2121" s="17"/>
      <c r="D2121" s="6"/>
      <c r="E2121" s="7" t="str">
        <f>IF($G2121="","",INDEX('EDS Lookup'!$F$6:$F$2819,$G2121))</f>
        <v/>
      </c>
      <c r="F2121" s="8" t="str">
        <f>IF($G2121="","",INDEX('EDS Lookup'!$G$6:$G$2819,$G2121))</f>
        <v/>
      </c>
      <c r="G2121" t="str">
        <f>IF(2098&lt;=$B$4,IFERROR(MATCH(2098,'EDS Lookup'!$H$6:$H$2819,0),""),"")</f>
        <v/>
      </c>
      <c r="H2121" t="str">
        <f t="shared" si="32"/>
        <v/>
      </c>
    </row>
    <row r="2122" spans="1:8" ht="19.95" customHeight="1">
      <c r="A2122" s="5" t="str">
        <f>IF($G2122="","",INDEX('EDS Lookup'!$D$6:$D$2819,$G2122))</f>
        <v/>
      </c>
      <c r="B2122" s="5" t="str">
        <f>IF($G2122="","",INDEX('EDS Lookup'!$B$6:$B$2819,$G2122))</f>
        <v/>
      </c>
      <c r="C2122" s="17"/>
      <c r="D2122" s="6"/>
      <c r="E2122" s="7" t="str">
        <f>IF($G2122="","",INDEX('EDS Lookup'!$F$6:$F$2819,$G2122))</f>
        <v/>
      </c>
      <c r="F2122" s="8" t="str">
        <f>IF($G2122="","",INDEX('EDS Lookup'!$G$6:$G$2819,$G2122))</f>
        <v/>
      </c>
      <c r="G2122" t="str">
        <f>IF(2099&lt;=$B$4,IFERROR(MATCH(2099,'EDS Lookup'!$H$6:$H$2819,0),""),"")</f>
        <v/>
      </c>
      <c r="H2122" t="str">
        <f t="shared" si="32"/>
        <v/>
      </c>
    </row>
    <row r="2123" spans="1:8" ht="19.95" customHeight="1">
      <c r="A2123" s="5" t="str">
        <f>IF($G2123="","",INDEX('EDS Lookup'!$D$6:$D$2819,$G2123))</f>
        <v/>
      </c>
      <c r="B2123" s="5" t="str">
        <f>IF($G2123="","",INDEX('EDS Lookup'!$B$6:$B$2819,$G2123))</f>
        <v/>
      </c>
      <c r="C2123" s="17"/>
      <c r="D2123" s="6"/>
      <c r="E2123" s="7" t="str">
        <f>IF($G2123="","",INDEX('EDS Lookup'!$F$6:$F$2819,$G2123))</f>
        <v/>
      </c>
      <c r="F2123" s="8" t="str">
        <f>IF($G2123="","",INDEX('EDS Lookup'!$G$6:$G$2819,$G2123))</f>
        <v/>
      </c>
      <c r="G2123" t="str">
        <f>IF(2100&lt;=$B$4,IFERROR(MATCH(2100,'EDS Lookup'!$H$6:$H$2819,0),""),"")</f>
        <v/>
      </c>
      <c r="H2123" t="str">
        <f t="shared" si="32"/>
        <v/>
      </c>
    </row>
    <row r="2124" spans="1:8" ht="19.95" customHeight="1">
      <c r="A2124" s="5" t="str">
        <f>IF($G2124="","",INDEX('EDS Lookup'!$D$6:$D$2819,$G2124))</f>
        <v/>
      </c>
      <c r="B2124" s="5" t="str">
        <f>IF($G2124="","",INDEX('EDS Lookup'!$B$6:$B$2819,$G2124))</f>
        <v/>
      </c>
      <c r="C2124" s="17"/>
      <c r="D2124" s="6"/>
      <c r="E2124" s="7" t="str">
        <f>IF($G2124="","",INDEX('EDS Lookup'!$F$6:$F$2819,$G2124))</f>
        <v/>
      </c>
      <c r="F2124" s="8" t="str">
        <f>IF($G2124="","",INDEX('EDS Lookup'!$G$6:$G$2819,$G2124))</f>
        <v/>
      </c>
      <c r="G2124" t="str">
        <f>IF(2101&lt;=$B$4,IFERROR(MATCH(2101,'EDS Lookup'!$H$6:$H$2819,0),""),"")</f>
        <v/>
      </c>
      <c r="H2124" t="str">
        <f t="shared" si="32"/>
        <v/>
      </c>
    </row>
    <row r="2125" spans="1:8" ht="19.95" customHeight="1">
      <c r="A2125" s="5" t="str">
        <f>IF($G2125="","",INDEX('EDS Lookup'!$D$6:$D$2819,$G2125))</f>
        <v/>
      </c>
      <c r="B2125" s="5" t="str">
        <f>IF($G2125="","",INDEX('EDS Lookup'!$B$6:$B$2819,$G2125))</f>
        <v/>
      </c>
      <c r="C2125" s="17"/>
      <c r="D2125" s="6"/>
      <c r="E2125" s="7" t="str">
        <f>IF($G2125="","",INDEX('EDS Lookup'!$F$6:$F$2819,$G2125))</f>
        <v/>
      </c>
      <c r="F2125" s="8" t="str">
        <f>IF($G2125="","",INDEX('EDS Lookup'!$G$6:$G$2819,$G2125))</f>
        <v/>
      </c>
      <c r="G2125" t="str">
        <f>IF(2102&lt;=$B$4,IFERROR(MATCH(2102,'EDS Lookup'!$H$6:$H$2819,0),""),"")</f>
        <v/>
      </c>
      <c r="H2125" t="str">
        <f t="shared" si="32"/>
        <v/>
      </c>
    </row>
    <row r="2126" spans="1:8" ht="19.95" customHeight="1">
      <c r="A2126" s="5" t="str">
        <f>IF($G2126="","",INDEX('EDS Lookup'!$D$6:$D$2819,$G2126))</f>
        <v/>
      </c>
      <c r="B2126" s="5" t="str">
        <f>IF($G2126="","",INDEX('EDS Lookup'!$B$6:$B$2819,$G2126))</f>
        <v/>
      </c>
      <c r="C2126" s="17"/>
      <c r="D2126" s="6"/>
      <c r="E2126" s="7" t="str">
        <f>IF($G2126="","",INDEX('EDS Lookup'!$F$6:$F$2819,$G2126))</f>
        <v/>
      </c>
      <c r="F2126" s="8" t="str">
        <f>IF($G2126="","",INDEX('EDS Lookup'!$G$6:$G$2819,$G2126))</f>
        <v/>
      </c>
      <c r="G2126" t="str">
        <f>IF(2103&lt;=$B$4,IFERROR(MATCH(2103,'EDS Lookup'!$H$6:$H$2819,0),""),"")</f>
        <v/>
      </c>
      <c r="H2126" t="str">
        <f t="shared" si="32"/>
        <v/>
      </c>
    </row>
    <row r="2127" spans="1:8" ht="19.95" customHeight="1">
      <c r="A2127" s="5" t="str">
        <f>IF($G2127="","",INDEX('EDS Lookup'!$D$6:$D$2819,$G2127))</f>
        <v/>
      </c>
      <c r="B2127" s="5" t="str">
        <f>IF($G2127="","",INDEX('EDS Lookup'!$B$6:$B$2819,$G2127))</f>
        <v/>
      </c>
      <c r="C2127" s="17"/>
      <c r="D2127" s="6"/>
      <c r="E2127" s="7" t="str">
        <f>IF($G2127="","",INDEX('EDS Lookup'!$F$6:$F$2819,$G2127))</f>
        <v/>
      </c>
      <c r="F2127" s="8" t="str">
        <f>IF($G2127="","",INDEX('EDS Lookup'!$G$6:$G$2819,$G2127))</f>
        <v/>
      </c>
      <c r="G2127" t="str">
        <f>IF(2104&lt;=$B$4,IFERROR(MATCH(2104,'EDS Lookup'!$H$6:$H$2819,0),""),"")</f>
        <v/>
      </c>
      <c r="H2127" t="str">
        <f t="shared" si="32"/>
        <v/>
      </c>
    </row>
    <row r="2128" spans="1:8" ht="19.95" customHeight="1">
      <c r="A2128" s="5" t="str">
        <f>IF($G2128="","",INDEX('EDS Lookup'!$D$6:$D$2819,$G2128))</f>
        <v/>
      </c>
      <c r="B2128" s="5" t="str">
        <f>IF($G2128="","",INDEX('EDS Lookup'!$B$6:$B$2819,$G2128))</f>
        <v/>
      </c>
      <c r="C2128" s="17"/>
      <c r="D2128" s="6"/>
      <c r="E2128" s="7" t="str">
        <f>IF($G2128="","",INDEX('EDS Lookup'!$F$6:$F$2819,$G2128))</f>
        <v/>
      </c>
      <c r="F2128" s="8" t="str">
        <f>IF($G2128="","",INDEX('EDS Lookup'!$G$6:$G$2819,$G2128))</f>
        <v/>
      </c>
      <c r="G2128" t="str">
        <f>IF(2105&lt;=$B$4,IFERROR(MATCH(2105,'EDS Lookup'!$H$6:$H$2819,0),""),"")</f>
        <v/>
      </c>
      <c r="H2128" t="str">
        <f t="shared" si="32"/>
        <v/>
      </c>
    </row>
    <row r="2129" spans="1:8" ht="19.95" customHeight="1">
      <c r="A2129" s="5" t="str">
        <f>IF($G2129="","",INDEX('EDS Lookup'!$D$6:$D$2819,$G2129))</f>
        <v/>
      </c>
      <c r="B2129" s="5" t="str">
        <f>IF($G2129="","",INDEX('EDS Lookup'!$B$6:$B$2819,$G2129))</f>
        <v/>
      </c>
      <c r="C2129" s="17"/>
      <c r="D2129" s="6"/>
      <c r="E2129" s="7" t="str">
        <f>IF($G2129="","",INDEX('EDS Lookup'!$F$6:$F$2819,$G2129))</f>
        <v/>
      </c>
      <c r="F2129" s="8" t="str">
        <f>IF($G2129="","",INDEX('EDS Lookup'!$G$6:$G$2819,$G2129))</f>
        <v/>
      </c>
      <c r="G2129" t="str">
        <f>IF(2106&lt;=$B$4,IFERROR(MATCH(2106,'EDS Lookup'!$H$6:$H$2819,0),""),"")</f>
        <v/>
      </c>
      <c r="H2129" t="str">
        <f t="shared" si="32"/>
        <v/>
      </c>
    </row>
    <row r="2130" spans="1:8" ht="19.95" customHeight="1">
      <c r="A2130" s="5" t="str">
        <f>IF($G2130="","",INDEX('EDS Lookup'!$D$6:$D$2819,$G2130))</f>
        <v/>
      </c>
      <c r="B2130" s="5" t="str">
        <f>IF($G2130="","",INDEX('EDS Lookup'!$B$6:$B$2819,$G2130))</f>
        <v/>
      </c>
      <c r="C2130" s="17"/>
      <c r="D2130" s="6"/>
      <c r="E2130" s="7" t="str">
        <f>IF($G2130="","",INDEX('EDS Lookup'!$F$6:$F$2819,$G2130))</f>
        <v/>
      </c>
      <c r="F2130" s="8" t="str">
        <f>IF($G2130="","",INDEX('EDS Lookup'!$G$6:$G$2819,$G2130))</f>
        <v/>
      </c>
      <c r="G2130" t="str">
        <f>IF(2107&lt;=$B$4,IFERROR(MATCH(2107,'EDS Lookup'!$H$6:$H$2819,0),""),"")</f>
        <v/>
      </c>
      <c r="H2130" t="str">
        <f t="shared" si="32"/>
        <v/>
      </c>
    </row>
    <row r="2131" spans="1:8" ht="19.95" customHeight="1">
      <c r="A2131" s="5" t="str">
        <f>IF($G2131="","",INDEX('EDS Lookup'!$D$6:$D$2819,$G2131))</f>
        <v/>
      </c>
      <c r="B2131" s="5" t="str">
        <f>IF($G2131="","",INDEX('EDS Lookup'!$B$6:$B$2819,$G2131))</f>
        <v/>
      </c>
      <c r="C2131" s="17"/>
      <c r="D2131" s="6"/>
      <c r="E2131" s="7" t="str">
        <f>IF($G2131="","",INDEX('EDS Lookup'!$F$6:$F$2819,$G2131))</f>
        <v/>
      </c>
      <c r="F2131" s="8" t="str">
        <f>IF($G2131="","",INDEX('EDS Lookup'!$G$6:$G$2819,$G2131))</f>
        <v/>
      </c>
      <c r="G2131" t="str">
        <f>IF(2108&lt;=$B$4,IFERROR(MATCH(2108,'EDS Lookup'!$H$6:$H$2819,0),""),"")</f>
        <v/>
      </c>
      <c r="H2131" t="str">
        <f t="shared" si="32"/>
        <v/>
      </c>
    </row>
    <row r="2132" spans="1:8" ht="19.95" customHeight="1">
      <c r="A2132" s="5" t="str">
        <f>IF($G2132="","",INDEX('EDS Lookup'!$D$6:$D$2819,$G2132))</f>
        <v/>
      </c>
      <c r="B2132" s="5" t="str">
        <f>IF($G2132="","",INDEX('EDS Lookup'!$B$6:$B$2819,$G2132))</f>
        <v/>
      </c>
      <c r="C2132" s="17"/>
      <c r="D2132" s="6"/>
      <c r="E2132" s="7" t="str">
        <f>IF($G2132="","",INDEX('EDS Lookup'!$F$6:$F$2819,$G2132))</f>
        <v/>
      </c>
      <c r="F2132" s="8" t="str">
        <f>IF($G2132="","",INDEX('EDS Lookup'!$G$6:$G$2819,$G2132))</f>
        <v/>
      </c>
      <c r="G2132" t="str">
        <f>IF(2109&lt;=$B$4,IFERROR(MATCH(2109,'EDS Lookup'!$H$6:$H$2819,0),""),"")</f>
        <v/>
      </c>
      <c r="H2132" t="str">
        <f t="shared" si="32"/>
        <v/>
      </c>
    </row>
    <row r="2133" spans="1:8" ht="19.95" customHeight="1">
      <c r="A2133" s="5" t="str">
        <f>IF($G2133="","",INDEX('EDS Lookup'!$D$6:$D$2819,$G2133))</f>
        <v/>
      </c>
      <c r="B2133" s="5" t="str">
        <f>IF($G2133="","",INDEX('EDS Lookup'!$B$6:$B$2819,$G2133))</f>
        <v/>
      </c>
      <c r="C2133" s="17"/>
      <c r="D2133" s="6"/>
      <c r="E2133" s="7" t="str">
        <f>IF($G2133="","",INDEX('EDS Lookup'!$F$6:$F$2819,$G2133))</f>
        <v/>
      </c>
      <c r="F2133" s="8" t="str">
        <f>IF($G2133="","",INDEX('EDS Lookup'!$G$6:$G$2819,$G2133))</f>
        <v/>
      </c>
      <c r="G2133" t="str">
        <f>IF(2110&lt;=$B$4,IFERROR(MATCH(2110,'EDS Lookup'!$H$6:$H$2819,0),""),"")</f>
        <v/>
      </c>
      <c r="H2133" t="str">
        <f t="shared" si="32"/>
        <v/>
      </c>
    </row>
    <row r="2134" spans="1:8" ht="19.95" customHeight="1">
      <c r="A2134" s="5" t="str">
        <f>IF($G2134="","",INDEX('EDS Lookup'!$D$6:$D$2819,$G2134))</f>
        <v/>
      </c>
      <c r="B2134" s="5" t="str">
        <f>IF($G2134="","",INDEX('EDS Lookup'!$B$6:$B$2819,$G2134))</f>
        <v/>
      </c>
      <c r="C2134" s="17"/>
      <c r="D2134" s="6"/>
      <c r="E2134" s="7" t="str">
        <f>IF($G2134="","",INDEX('EDS Lookup'!$F$6:$F$2819,$G2134))</f>
        <v/>
      </c>
      <c r="F2134" s="8" t="str">
        <f>IF($G2134="","",INDEX('EDS Lookup'!$G$6:$G$2819,$G2134))</f>
        <v/>
      </c>
      <c r="G2134" t="str">
        <f>IF(2111&lt;=$B$4,IFERROR(MATCH(2111,'EDS Lookup'!$H$6:$H$2819,0),""),"")</f>
        <v/>
      </c>
      <c r="H2134" t="str">
        <f t="shared" si="32"/>
        <v/>
      </c>
    </row>
    <row r="2135" spans="1:8" ht="19.95" customHeight="1">
      <c r="A2135" s="5" t="str">
        <f>IF($G2135="","",INDEX('EDS Lookup'!$D$6:$D$2819,$G2135))</f>
        <v/>
      </c>
      <c r="B2135" s="5" t="str">
        <f>IF($G2135="","",INDEX('EDS Lookup'!$B$6:$B$2819,$G2135))</f>
        <v/>
      </c>
      <c r="C2135" s="17"/>
      <c r="D2135" s="6"/>
      <c r="E2135" s="7" t="str">
        <f>IF($G2135="","",INDEX('EDS Lookup'!$F$6:$F$2819,$G2135))</f>
        <v/>
      </c>
      <c r="F2135" s="8" t="str">
        <f>IF($G2135="","",INDEX('EDS Lookup'!$G$6:$G$2819,$G2135))</f>
        <v/>
      </c>
      <c r="G2135" t="str">
        <f>IF(2112&lt;=$B$4,IFERROR(MATCH(2112,'EDS Lookup'!$H$6:$H$2819,0),""),"")</f>
        <v/>
      </c>
      <c r="H2135" t="str">
        <f t="shared" si="32"/>
        <v/>
      </c>
    </row>
    <row r="2136" spans="1:8" ht="19.95" customHeight="1">
      <c r="A2136" s="5" t="str">
        <f>IF($G2136="","",INDEX('EDS Lookup'!$D$6:$D$2819,$G2136))</f>
        <v/>
      </c>
      <c r="B2136" s="5" t="str">
        <f>IF($G2136="","",INDEX('EDS Lookup'!$B$6:$B$2819,$G2136))</f>
        <v/>
      </c>
      <c r="C2136" s="17"/>
      <c r="D2136" s="6"/>
      <c r="E2136" s="7" t="str">
        <f>IF($G2136="","",INDEX('EDS Lookup'!$F$6:$F$2819,$G2136))</f>
        <v/>
      </c>
      <c r="F2136" s="8" t="str">
        <f>IF($G2136="","",INDEX('EDS Lookup'!$G$6:$G$2819,$G2136))</f>
        <v/>
      </c>
      <c r="G2136" t="str">
        <f>IF(2113&lt;=$B$4,IFERROR(MATCH(2113,'EDS Lookup'!$H$6:$H$2819,0),""),"")</f>
        <v/>
      </c>
      <c r="H2136" t="str">
        <f t="shared" ref="H2136:H2199" si="33">IF(F2136="&lt;5",5,IF(F2136="&gt;95",95,IF(ISNUMBER(F2136),F2136,"")))</f>
        <v/>
      </c>
    </row>
    <row r="2137" spans="1:8" ht="19.95" customHeight="1">
      <c r="A2137" s="5" t="str">
        <f>IF($G2137="","",INDEX('EDS Lookup'!$D$6:$D$2819,$G2137))</f>
        <v/>
      </c>
      <c r="B2137" s="5" t="str">
        <f>IF($G2137="","",INDEX('EDS Lookup'!$B$6:$B$2819,$G2137))</f>
        <v/>
      </c>
      <c r="C2137" s="17"/>
      <c r="D2137" s="6"/>
      <c r="E2137" s="7" t="str">
        <f>IF($G2137="","",INDEX('EDS Lookup'!$F$6:$F$2819,$G2137))</f>
        <v/>
      </c>
      <c r="F2137" s="8" t="str">
        <f>IF($G2137="","",INDEX('EDS Lookup'!$G$6:$G$2819,$G2137))</f>
        <v/>
      </c>
      <c r="G2137" t="str">
        <f>IF(2114&lt;=$B$4,IFERROR(MATCH(2114,'EDS Lookup'!$H$6:$H$2819,0),""),"")</f>
        <v/>
      </c>
      <c r="H2137" t="str">
        <f t="shared" si="33"/>
        <v/>
      </c>
    </row>
    <row r="2138" spans="1:8" ht="19.95" customHeight="1">
      <c r="A2138" s="5" t="str">
        <f>IF($G2138="","",INDEX('EDS Lookup'!$D$6:$D$2819,$G2138))</f>
        <v/>
      </c>
      <c r="B2138" s="5" t="str">
        <f>IF($G2138="","",INDEX('EDS Lookup'!$B$6:$B$2819,$G2138))</f>
        <v/>
      </c>
      <c r="C2138" s="17"/>
      <c r="D2138" s="6"/>
      <c r="E2138" s="7" t="str">
        <f>IF($G2138="","",INDEX('EDS Lookup'!$F$6:$F$2819,$G2138))</f>
        <v/>
      </c>
      <c r="F2138" s="8" t="str">
        <f>IF($G2138="","",INDEX('EDS Lookup'!$G$6:$G$2819,$G2138))</f>
        <v/>
      </c>
      <c r="G2138" t="str">
        <f>IF(2115&lt;=$B$4,IFERROR(MATCH(2115,'EDS Lookup'!$H$6:$H$2819,0),""),"")</f>
        <v/>
      </c>
      <c r="H2138" t="str">
        <f t="shared" si="33"/>
        <v/>
      </c>
    </row>
    <row r="2139" spans="1:8" ht="19.95" customHeight="1">
      <c r="A2139" s="5" t="str">
        <f>IF($G2139="","",INDEX('EDS Lookup'!$D$6:$D$2819,$G2139))</f>
        <v/>
      </c>
      <c r="B2139" s="5" t="str">
        <f>IF($G2139="","",INDEX('EDS Lookup'!$B$6:$B$2819,$G2139))</f>
        <v/>
      </c>
      <c r="C2139" s="17"/>
      <c r="D2139" s="6"/>
      <c r="E2139" s="7" t="str">
        <f>IF($G2139="","",INDEX('EDS Lookup'!$F$6:$F$2819,$G2139))</f>
        <v/>
      </c>
      <c r="F2139" s="8" t="str">
        <f>IF($G2139="","",INDEX('EDS Lookup'!$G$6:$G$2819,$G2139))</f>
        <v/>
      </c>
      <c r="G2139" t="str">
        <f>IF(2116&lt;=$B$4,IFERROR(MATCH(2116,'EDS Lookup'!$H$6:$H$2819,0),""),"")</f>
        <v/>
      </c>
      <c r="H2139" t="str">
        <f t="shared" si="33"/>
        <v/>
      </c>
    </row>
    <row r="2140" spans="1:8" ht="19.95" customHeight="1">
      <c r="A2140" s="5" t="str">
        <f>IF($G2140="","",INDEX('EDS Lookup'!$D$6:$D$2819,$G2140))</f>
        <v/>
      </c>
      <c r="B2140" s="5" t="str">
        <f>IF($G2140="","",INDEX('EDS Lookup'!$B$6:$B$2819,$G2140))</f>
        <v/>
      </c>
      <c r="C2140" s="17"/>
      <c r="D2140" s="6"/>
      <c r="E2140" s="7" t="str">
        <f>IF($G2140="","",INDEX('EDS Lookup'!$F$6:$F$2819,$G2140))</f>
        <v/>
      </c>
      <c r="F2140" s="8" t="str">
        <f>IF($G2140="","",INDEX('EDS Lookup'!$G$6:$G$2819,$G2140))</f>
        <v/>
      </c>
      <c r="G2140" t="str">
        <f>IF(2117&lt;=$B$4,IFERROR(MATCH(2117,'EDS Lookup'!$H$6:$H$2819,0),""),"")</f>
        <v/>
      </c>
      <c r="H2140" t="str">
        <f t="shared" si="33"/>
        <v/>
      </c>
    </row>
    <row r="2141" spans="1:8" ht="19.95" customHeight="1">
      <c r="A2141" s="5" t="str">
        <f>IF($G2141="","",INDEX('EDS Lookup'!$D$6:$D$2819,$G2141))</f>
        <v/>
      </c>
      <c r="B2141" s="5" t="str">
        <f>IF($G2141="","",INDEX('EDS Lookup'!$B$6:$B$2819,$G2141))</f>
        <v/>
      </c>
      <c r="C2141" s="17"/>
      <c r="D2141" s="6"/>
      <c r="E2141" s="7" t="str">
        <f>IF($G2141="","",INDEX('EDS Lookup'!$F$6:$F$2819,$G2141))</f>
        <v/>
      </c>
      <c r="F2141" s="8" t="str">
        <f>IF($G2141="","",INDEX('EDS Lookup'!$G$6:$G$2819,$G2141))</f>
        <v/>
      </c>
      <c r="G2141" t="str">
        <f>IF(2118&lt;=$B$4,IFERROR(MATCH(2118,'EDS Lookup'!$H$6:$H$2819,0),""),"")</f>
        <v/>
      </c>
      <c r="H2141" t="str">
        <f t="shared" si="33"/>
        <v/>
      </c>
    </row>
    <row r="2142" spans="1:8" ht="19.95" customHeight="1">
      <c r="A2142" s="5" t="str">
        <f>IF($G2142="","",INDEX('EDS Lookup'!$D$6:$D$2819,$G2142))</f>
        <v/>
      </c>
      <c r="B2142" s="5" t="str">
        <f>IF($G2142="","",INDEX('EDS Lookup'!$B$6:$B$2819,$G2142))</f>
        <v/>
      </c>
      <c r="C2142" s="17"/>
      <c r="D2142" s="6"/>
      <c r="E2142" s="7" t="str">
        <f>IF($G2142="","",INDEX('EDS Lookup'!$F$6:$F$2819,$G2142))</f>
        <v/>
      </c>
      <c r="F2142" s="8" t="str">
        <f>IF($G2142="","",INDEX('EDS Lookup'!$G$6:$G$2819,$G2142))</f>
        <v/>
      </c>
      <c r="G2142" t="str">
        <f>IF(2119&lt;=$B$4,IFERROR(MATCH(2119,'EDS Lookup'!$H$6:$H$2819,0),""),"")</f>
        <v/>
      </c>
      <c r="H2142" t="str">
        <f t="shared" si="33"/>
        <v/>
      </c>
    </row>
    <row r="2143" spans="1:8" ht="19.95" customHeight="1">
      <c r="A2143" s="5" t="str">
        <f>IF($G2143="","",INDEX('EDS Lookup'!$D$6:$D$2819,$G2143))</f>
        <v/>
      </c>
      <c r="B2143" s="5" t="str">
        <f>IF($G2143="","",INDEX('EDS Lookup'!$B$6:$B$2819,$G2143))</f>
        <v/>
      </c>
      <c r="C2143" s="17"/>
      <c r="D2143" s="6"/>
      <c r="E2143" s="7" t="str">
        <f>IF($G2143="","",INDEX('EDS Lookup'!$F$6:$F$2819,$G2143))</f>
        <v/>
      </c>
      <c r="F2143" s="8" t="str">
        <f>IF($G2143="","",INDEX('EDS Lookup'!$G$6:$G$2819,$G2143))</f>
        <v/>
      </c>
      <c r="G2143" t="str">
        <f>IF(2120&lt;=$B$4,IFERROR(MATCH(2120,'EDS Lookup'!$H$6:$H$2819,0),""),"")</f>
        <v/>
      </c>
      <c r="H2143" t="str">
        <f t="shared" si="33"/>
        <v/>
      </c>
    </row>
    <row r="2144" spans="1:8" ht="19.95" customHeight="1">
      <c r="A2144" s="5" t="str">
        <f>IF($G2144="","",INDEX('EDS Lookup'!$D$6:$D$2819,$G2144))</f>
        <v/>
      </c>
      <c r="B2144" s="5" t="str">
        <f>IF($G2144="","",INDEX('EDS Lookup'!$B$6:$B$2819,$G2144))</f>
        <v/>
      </c>
      <c r="C2144" s="17"/>
      <c r="D2144" s="6"/>
      <c r="E2144" s="7" t="str">
        <f>IF($G2144="","",INDEX('EDS Lookup'!$F$6:$F$2819,$G2144))</f>
        <v/>
      </c>
      <c r="F2144" s="8" t="str">
        <f>IF($G2144="","",INDEX('EDS Lookup'!$G$6:$G$2819,$G2144))</f>
        <v/>
      </c>
      <c r="G2144" t="str">
        <f>IF(2121&lt;=$B$4,IFERROR(MATCH(2121,'EDS Lookup'!$H$6:$H$2819,0),""),"")</f>
        <v/>
      </c>
      <c r="H2144" t="str">
        <f t="shared" si="33"/>
        <v/>
      </c>
    </row>
    <row r="2145" spans="1:8" ht="19.95" customHeight="1">
      <c r="A2145" s="5" t="str">
        <f>IF($G2145="","",INDEX('EDS Lookup'!$D$6:$D$2819,$G2145))</f>
        <v/>
      </c>
      <c r="B2145" s="5" t="str">
        <f>IF($G2145="","",INDEX('EDS Lookup'!$B$6:$B$2819,$G2145))</f>
        <v/>
      </c>
      <c r="C2145" s="17"/>
      <c r="D2145" s="6"/>
      <c r="E2145" s="7" t="str">
        <f>IF($G2145="","",INDEX('EDS Lookup'!$F$6:$F$2819,$G2145))</f>
        <v/>
      </c>
      <c r="F2145" s="8" t="str">
        <f>IF($G2145="","",INDEX('EDS Lookup'!$G$6:$G$2819,$G2145))</f>
        <v/>
      </c>
      <c r="G2145" t="str">
        <f>IF(2122&lt;=$B$4,IFERROR(MATCH(2122,'EDS Lookup'!$H$6:$H$2819,0),""),"")</f>
        <v/>
      </c>
      <c r="H2145" t="str">
        <f t="shared" si="33"/>
        <v/>
      </c>
    </row>
    <row r="2146" spans="1:8" ht="19.95" customHeight="1">
      <c r="A2146" s="5" t="str">
        <f>IF($G2146="","",INDEX('EDS Lookup'!$D$6:$D$2819,$G2146))</f>
        <v/>
      </c>
      <c r="B2146" s="5" t="str">
        <f>IF($G2146="","",INDEX('EDS Lookup'!$B$6:$B$2819,$G2146))</f>
        <v/>
      </c>
      <c r="C2146" s="17"/>
      <c r="D2146" s="6"/>
      <c r="E2146" s="7" t="str">
        <f>IF($G2146="","",INDEX('EDS Lookup'!$F$6:$F$2819,$G2146))</f>
        <v/>
      </c>
      <c r="F2146" s="8" t="str">
        <f>IF($G2146="","",INDEX('EDS Lookup'!$G$6:$G$2819,$G2146))</f>
        <v/>
      </c>
      <c r="G2146" t="str">
        <f>IF(2123&lt;=$B$4,IFERROR(MATCH(2123,'EDS Lookup'!$H$6:$H$2819,0),""),"")</f>
        <v/>
      </c>
      <c r="H2146" t="str">
        <f t="shared" si="33"/>
        <v/>
      </c>
    </row>
    <row r="2147" spans="1:8" ht="19.95" customHeight="1">
      <c r="A2147" s="5" t="str">
        <f>IF($G2147="","",INDEX('EDS Lookup'!$D$6:$D$2819,$G2147))</f>
        <v/>
      </c>
      <c r="B2147" s="5" t="str">
        <f>IF($G2147="","",INDEX('EDS Lookup'!$B$6:$B$2819,$G2147))</f>
        <v/>
      </c>
      <c r="C2147" s="17"/>
      <c r="D2147" s="6"/>
      <c r="E2147" s="7" t="str">
        <f>IF($G2147="","",INDEX('EDS Lookup'!$F$6:$F$2819,$G2147))</f>
        <v/>
      </c>
      <c r="F2147" s="8" t="str">
        <f>IF($G2147="","",INDEX('EDS Lookup'!$G$6:$G$2819,$G2147))</f>
        <v/>
      </c>
      <c r="G2147" t="str">
        <f>IF(2124&lt;=$B$4,IFERROR(MATCH(2124,'EDS Lookup'!$H$6:$H$2819,0),""),"")</f>
        <v/>
      </c>
      <c r="H2147" t="str">
        <f t="shared" si="33"/>
        <v/>
      </c>
    </row>
    <row r="2148" spans="1:8" ht="19.95" customHeight="1">
      <c r="A2148" s="5" t="str">
        <f>IF($G2148="","",INDEX('EDS Lookup'!$D$6:$D$2819,$G2148))</f>
        <v/>
      </c>
      <c r="B2148" s="5" t="str">
        <f>IF($G2148="","",INDEX('EDS Lookup'!$B$6:$B$2819,$G2148))</f>
        <v/>
      </c>
      <c r="C2148" s="17"/>
      <c r="D2148" s="6"/>
      <c r="E2148" s="7" t="str">
        <f>IF($G2148="","",INDEX('EDS Lookup'!$F$6:$F$2819,$G2148))</f>
        <v/>
      </c>
      <c r="F2148" s="8" t="str">
        <f>IF($G2148="","",INDEX('EDS Lookup'!$G$6:$G$2819,$G2148))</f>
        <v/>
      </c>
      <c r="G2148" t="str">
        <f>IF(2125&lt;=$B$4,IFERROR(MATCH(2125,'EDS Lookup'!$H$6:$H$2819,0),""),"")</f>
        <v/>
      </c>
      <c r="H2148" t="str">
        <f t="shared" si="33"/>
        <v/>
      </c>
    </row>
    <row r="2149" spans="1:8" ht="19.95" customHeight="1">
      <c r="A2149" s="5" t="str">
        <f>IF($G2149="","",INDEX('EDS Lookup'!$D$6:$D$2819,$G2149))</f>
        <v/>
      </c>
      <c r="B2149" s="5" t="str">
        <f>IF($G2149="","",INDEX('EDS Lookup'!$B$6:$B$2819,$G2149))</f>
        <v/>
      </c>
      <c r="C2149" s="17"/>
      <c r="D2149" s="6"/>
      <c r="E2149" s="7" t="str">
        <f>IF($G2149="","",INDEX('EDS Lookup'!$F$6:$F$2819,$G2149))</f>
        <v/>
      </c>
      <c r="F2149" s="8" t="str">
        <f>IF($G2149="","",INDEX('EDS Lookup'!$G$6:$G$2819,$G2149))</f>
        <v/>
      </c>
      <c r="G2149" t="str">
        <f>IF(2126&lt;=$B$4,IFERROR(MATCH(2126,'EDS Lookup'!$H$6:$H$2819,0),""),"")</f>
        <v/>
      </c>
      <c r="H2149" t="str">
        <f t="shared" si="33"/>
        <v/>
      </c>
    </row>
    <row r="2150" spans="1:8" ht="19.95" customHeight="1">
      <c r="A2150" s="5" t="str">
        <f>IF($G2150="","",INDEX('EDS Lookup'!$D$6:$D$2819,$G2150))</f>
        <v/>
      </c>
      <c r="B2150" s="5" t="str">
        <f>IF($G2150="","",INDEX('EDS Lookup'!$B$6:$B$2819,$G2150))</f>
        <v/>
      </c>
      <c r="C2150" s="17"/>
      <c r="D2150" s="6"/>
      <c r="E2150" s="7" t="str">
        <f>IF($G2150="","",INDEX('EDS Lookup'!$F$6:$F$2819,$G2150))</f>
        <v/>
      </c>
      <c r="F2150" s="8" t="str">
        <f>IF($G2150="","",INDEX('EDS Lookup'!$G$6:$G$2819,$G2150))</f>
        <v/>
      </c>
      <c r="G2150" t="str">
        <f>IF(2127&lt;=$B$4,IFERROR(MATCH(2127,'EDS Lookup'!$H$6:$H$2819,0),""),"")</f>
        <v/>
      </c>
      <c r="H2150" t="str">
        <f t="shared" si="33"/>
        <v/>
      </c>
    </row>
    <row r="2151" spans="1:8" ht="19.95" customHeight="1">
      <c r="A2151" s="5" t="str">
        <f>IF($G2151="","",INDEX('EDS Lookup'!$D$6:$D$2819,$G2151))</f>
        <v/>
      </c>
      <c r="B2151" s="5" t="str">
        <f>IF($G2151="","",INDEX('EDS Lookup'!$B$6:$B$2819,$G2151))</f>
        <v/>
      </c>
      <c r="C2151" s="17"/>
      <c r="D2151" s="6"/>
      <c r="E2151" s="7" t="str">
        <f>IF($G2151="","",INDEX('EDS Lookup'!$F$6:$F$2819,$G2151))</f>
        <v/>
      </c>
      <c r="F2151" s="8" t="str">
        <f>IF($G2151="","",INDEX('EDS Lookup'!$G$6:$G$2819,$G2151))</f>
        <v/>
      </c>
      <c r="G2151" t="str">
        <f>IF(2128&lt;=$B$4,IFERROR(MATCH(2128,'EDS Lookup'!$H$6:$H$2819,0),""),"")</f>
        <v/>
      </c>
      <c r="H2151" t="str">
        <f t="shared" si="33"/>
        <v/>
      </c>
    </row>
    <row r="2152" spans="1:8" ht="19.95" customHeight="1">
      <c r="A2152" s="5" t="str">
        <f>IF($G2152="","",INDEX('EDS Lookup'!$D$6:$D$2819,$G2152))</f>
        <v/>
      </c>
      <c r="B2152" s="5" t="str">
        <f>IF($G2152="","",INDEX('EDS Lookup'!$B$6:$B$2819,$G2152))</f>
        <v/>
      </c>
      <c r="C2152" s="17"/>
      <c r="D2152" s="6"/>
      <c r="E2152" s="7" t="str">
        <f>IF($G2152="","",INDEX('EDS Lookup'!$F$6:$F$2819,$G2152))</f>
        <v/>
      </c>
      <c r="F2152" s="8" t="str">
        <f>IF($G2152="","",INDEX('EDS Lookup'!$G$6:$G$2819,$G2152))</f>
        <v/>
      </c>
      <c r="G2152" t="str">
        <f>IF(2129&lt;=$B$4,IFERROR(MATCH(2129,'EDS Lookup'!$H$6:$H$2819,0),""),"")</f>
        <v/>
      </c>
      <c r="H2152" t="str">
        <f t="shared" si="33"/>
        <v/>
      </c>
    </row>
    <row r="2153" spans="1:8" ht="19.95" customHeight="1">
      <c r="A2153" s="5" t="str">
        <f>IF($G2153="","",INDEX('EDS Lookup'!$D$6:$D$2819,$G2153))</f>
        <v/>
      </c>
      <c r="B2153" s="5" t="str">
        <f>IF($G2153="","",INDEX('EDS Lookup'!$B$6:$B$2819,$G2153))</f>
        <v/>
      </c>
      <c r="C2153" s="17"/>
      <c r="D2153" s="6"/>
      <c r="E2153" s="7" t="str">
        <f>IF($G2153="","",INDEX('EDS Lookup'!$F$6:$F$2819,$G2153))</f>
        <v/>
      </c>
      <c r="F2153" s="8" t="str">
        <f>IF($G2153="","",INDEX('EDS Lookup'!$G$6:$G$2819,$G2153))</f>
        <v/>
      </c>
      <c r="G2153" t="str">
        <f>IF(2130&lt;=$B$4,IFERROR(MATCH(2130,'EDS Lookup'!$H$6:$H$2819,0),""),"")</f>
        <v/>
      </c>
      <c r="H2153" t="str">
        <f t="shared" si="33"/>
        <v/>
      </c>
    </row>
    <row r="2154" spans="1:8" ht="19.95" customHeight="1">
      <c r="A2154" s="5" t="str">
        <f>IF($G2154="","",INDEX('EDS Lookup'!$D$6:$D$2819,$G2154))</f>
        <v/>
      </c>
      <c r="B2154" s="5" t="str">
        <f>IF($G2154="","",INDEX('EDS Lookup'!$B$6:$B$2819,$G2154))</f>
        <v/>
      </c>
      <c r="C2154" s="17"/>
      <c r="D2154" s="6"/>
      <c r="E2154" s="7" t="str">
        <f>IF($G2154="","",INDEX('EDS Lookup'!$F$6:$F$2819,$G2154))</f>
        <v/>
      </c>
      <c r="F2154" s="8" t="str">
        <f>IF($G2154="","",INDEX('EDS Lookup'!$G$6:$G$2819,$G2154))</f>
        <v/>
      </c>
      <c r="G2154" t="str">
        <f>IF(2131&lt;=$B$4,IFERROR(MATCH(2131,'EDS Lookup'!$H$6:$H$2819,0),""),"")</f>
        <v/>
      </c>
      <c r="H2154" t="str">
        <f t="shared" si="33"/>
        <v/>
      </c>
    </row>
    <row r="2155" spans="1:8" ht="19.95" customHeight="1">
      <c r="A2155" s="5" t="str">
        <f>IF($G2155="","",INDEX('EDS Lookup'!$D$6:$D$2819,$G2155))</f>
        <v/>
      </c>
      <c r="B2155" s="5" t="str">
        <f>IF($G2155="","",INDEX('EDS Lookup'!$B$6:$B$2819,$G2155))</f>
        <v/>
      </c>
      <c r="C2155" s="17"/>
      <c r="D2155" s="6"/>
      <c r="E2155" s="7" t="str">
        <f>IF($G2155="","",INDEX('EDS Lookup'!$F$6:$F$2819,$G2155))</f>
        <v/>
      </c>
      <c r="F2155" s="8" t="str">
        <f>IF($G2155="","",INDEX('EDS Lookup'!$G$6:$G$2819,$G2155))</f>
        <v/>
      </c>
      <c r="G2155" t="str">
        <f>IF(2132&lt;=$B$4,IFERROR(MATCH(2132,'EDS Lookup'!$H$6:$H$2819,0),""),"")</f>
        <v/>
      </c>
      <c r="H2155" t="str">
        <f t="shared" si="33"/>
        <v/>
      </c>
    </row>
    <row r="2156" spans="1:8" ht="19.95" customHeight="1">
      <c r="A2156" s="5" t="str">
        <f>IF($G2156="","",INDEX('EDS Lookup'!$D$6:$D$2819,$G2156))</f>
        <v/>
      </c>
      <c r="B2156" s="5" t="str">
        <f>IF($G2156="","",INDEX('EDS Lookup'!$B$6:$B$2819,$G2156))</f>
        <v/>
      </c>
      <c r="C2156" s="17"/>
      <c r="D2156" s="6"/>
      <c r="E2156" s="7" t="str">
        <f>IF($G2156="","",INDEX('EDS Lookup'!$F$6:$F$2819,$G2156))</f>
        <v/>
      </c>
      <c r="F2156" s="8" t="str">
        <f>IF($G2156="","",INDEX('EDS Lookup'!$G$6:$G$2819,$G2156))</f>
        <v/>
      </c>
      <c r="G2156" t="str">
        <f>IF(2133&lt;=$B$4,IFERROR(MATCH(2133,'EDS Lookup'!$H$6:$H$2819,0),""),"")</f>
        <v/>
      </c>
      <c r="H2156" t="str">
        <f t="shared" si="33"/>
        <v/>
      </c>
    </row>
    <row r="2157" spans="1:8" ht="19.95" customHeight="1">
      <c r="A2157" s="5" t="str">
        <f>IF($G2157="","",INDEX('EDS Lookup'!$D$6:$D$2819,$G2157))</f>
        <v/>
      </c>
      <c r="B2157" s="5" t="str">
        <f>IF($G2157="","",INDEX('EDS Lookup'!$B$6:$B$2819,$G2157))</f>
        <v/>
      </c>
      <c r="C2157" s="17"/>
      <c r="D2157" s="6"/>
      <c r="E2157" s="7" t="str">
        <f>IF($G2157="","",INDEX('EDS Lookup'!$F$6:$F$2819,$G2157))</f>
        <v/>
      </c>
      <c r="F2157" s="8" t="str">
        <f>IF($G2157="","",INDEX('EDS Lookup'!$G$6:$G$2819,$G2157))</f>
        <v/>
      </c>
      <c r="G2157" t="str">
        <f>IF(2134&lt;=$B$4,IFERROR(MATCH(2134,'EDS Lookup'!$H$6:$H$2819,0),""),"")</f>
        <v/>
      </c>
      <c r="H2157" t="str">
        <f t="shared" si="33"/>
        <v/>
      </c>
    </row>
    <row r="2158" spans="1:8" ht="19.95" customHeight="1">
      <c r="A2158" s="5" t="str">
        <f>IF($G2158="","",INDEX('EDS Lookup'!$D$6:$D$2819,$G2158))</f>
        <v/>
      </c>
      <c r="B2158" s="5" t="str">
        <f>IF($G2158="","",INDEX('EDS Lookup'!$B$6:$B$2819,$G2158))</f>
        <v/>
      </c>
      <c r="C2158" s="17"/>
      <c r="D2158" s="6"/>
      <c r="E2158" s="7" t="str">
        <f>IF($G2158="","",INDEX('EDS Lookup'!$F$6:$F$2819,$G2158))</f>
        <v/>
      </c>
      <c r="F2158" s="8" t="str">
        <f>IF($G2158="","",INDEX('EDS Lookup'!$G$6:$G$2819,$G2158))</f>
        <v/>
      </c>
      <c r="G2158" t="str">
        <f>IF(2135&lt;=$B$4,IFERROR(MATCH(2135,'EDS Lookup'!$H$6:$H$2819,0),""),"")</f>
        <v/>
      </c>
      <c r="H2158" t="str">
        <f t="shared" si="33"/>
        <v/>
      </c>
    </row>
    <row r="2159" spans="1:8" ht="19.95" customHeight="1">
      <c r="A2159" s="5" t="str">
        <f>IF($G2159="","",INDEX('EDS Lookup'!$D$6:$D$2819,$G2159))</f>
        <v/>
      </c>
      <c r="B2159" s="5" t="str">
        <f>IF($G2159="","",INDEX('EDS Lookup'!$B$6:$B$2819,$G2159))</f>
        <v/>
      </c>
      <c r="C2159" s="17"/>
      <c r="D2159" s="6"/>
      <c r="E2159" s="7" t="str">
        <f>IF($G2159="","",INDEX('EDS Lookup'!$F$6:$F$2819,$G2159))</f>
        <v/>
      </c>
      <c r="F2159" s="8" t="str">
        <f>IF($G2159="","",INDEX('EDS Lookup'!$G$6:$G$2819,$G2159))</f>
        <v/>
      </c>
      <c r="G2159" t="str">
        <f>IF(2136&lt;=$B$4,IFERROR(MATCH(2136,'EDS Lookup'!$H$6:$H$2819,0),""),"")</f>
        <v/>
      </c>
      <c r="H2159" t="str">
        <f t="shared" si="33"/>
        <v/>
      </c>
    </row>
    <row r="2160" spans="1:8" ht="19.95" customHeight="1">
      <c r="A2160" s="5" t="str">
        <f>IF($G2160="","",INDEX('EDS Lookup'!$D$6:$D$2819,$G2160))</f>
        <v/>
      </c>
      <c r="B2160" s="5" t="str">
        <f>IF($G2160="","",INDEX('EDS Lookup'!$B$6:$B$2819,$G2160))</f>
        <v/>
      </c>
      <c r="C2160" s="17"/>
      <c r="D2160" s="6"/>
      <c r="E2160" s="7" t="str">
        <f>IF($G2160="","",INDEX('EDS Lookup'!$F$6:$F$2819,$G2160))</f>
        <v/>
      </c>
      <c r="F2160" s="8" t="str">
        <f>IF($G2160="","",INDEX('EDS Lookup'!$G$6:$G$2819,$G2160))</f>
        <v/>
      </c>
      <c r="G2160" t="str">
        <f>IF(2137&lt;=$B$4,IFERROR(MATCH(2137,'EDS Lookup'!$H$6:$H$2819,0),""),"")</f>
        <v/>
      </c>
      <c r="H2160" t="str">
        <f t="shared" si="33"/>
        <v/>
      </c>
    </row>
    <row r="2161" spans="1:8" ht="19.95" customHeight="1">
      <c r="A2161" s="5" t="str">
        <f>IF($G2161="","",INDEX('EDS Lookup'!$D$6:$D$2819,$G2161))</f>
        <v/>
      </c>
      <c r="B2161" s="5" t="str">
        <f>IF($G2161="","",INDEX('EDS Lookup'!$B$6:$B$2819,$G2161))</f>
        <v/>
      </c>
      <c r="C2161" s="17"/>
      <c r="D2161" s="6"/>
      <c r="E2161" s="7" t="str">
        <f>IF($G2161="","",INDEX('EDS Lookup'!$F$6:$F$2819,$G2161))</f>
        <v/>
      </c>
      <c r="F2161" s="8" t="str">
        <f>IF($G2161="","",INDEX('EDS Lookup'!$G$6:$G$2819,$G2161))</f>
        <v/>
      </c>
      <c r="G2161" t="str">
        <f>IF(2138&lt;=$B$4,IFERROR(MATCH(2138,'EDS Lookup'!$H$6:$H$2819,0),""),"")</f>
        <v/>
      </c>
      <c r="H2161" t="str">
        <f t="shared" si="33"/>
        <v/>
      </c>
    </row>
    <row r="2162" spans="1:8" ht="19.95" customHeight="1">
      <c r="A2162" s="5" t="str">
        <f>IF($G2162="","",INDEX('EDS Lookup'!$D$6:$D$2819,$G2162))</f>
        <v/>
      </c>
      <c r="B2162" s="5" t="str">
        <f>IF($G2162="","",INDEX('EDS Lookup'!$B$6:$B$2819,$G2162))</f>
        <v/>
      </c>
      <c r="C2162" s="17"/>
      <c r="D2162" s="6"/>
      <c r="E2162" s="7" t="str">
        <f>IF($G2162="","",INDEX('EDS Lookup'!$F$6:$F$2819,$G2162))</f>
        <v/>
      </c>
      <c r="F2162" s="8" t="str">
        <f>IF($G2162="","",INDEX('EDS Lookup'!$G$6:$G$2819,$G2162))</f>
        <v/>
      </c>
      <c r="G2162" t="str">
        <f>IF(2139&lt;=$B$4,IFERROR(MATCH(2139,'EDS Lookup'!$H$6:$H$2819,0),""),"")</f>
        <v/>
      </c>
      <c r="H2162" t="str">
        <f t="shared" si="33"/>
        <v/>
      </c>
    </row>
    <row r="2163" spans="1:8" ht="19.95" customHeight="1">
      <c r="A2163" s="5" t="str">
        <f>IF($G2163="","",INDEX('EDS Lookup'!$D$6:$D$2819,$G2163))</f>
        <v/>
      </c>
      <c r="B2163" s="5" t="str">
        <f>IF($G2163="","",INDEX('EDS Lookup'!$B$6:$B$2819,$G2163))</f>
        <v/>
      </c>
      <c r="C2163" s="17"/>
      <c r="D2163" s="6"/>
      <c r="E2163" s="7" t="str">
        <f>IF($G2163="","",INDEX('EDS Lookup'!$F$6:$F$2819,$G2163))</f>
        <v/>
      </c>
      <c r="F2163" s="8" t="str">
        <f>IF($G2163="","",INDEX('EDS Lookup'!$G$6:$G$2819,$G2163))</f>
        <v/>
      </c>
      <c r="G2163" t="str">
        <f>IF(2140&lt;=$B$4,IFERROR(MATCH(2140,'EDS Lookup'!$H$6:$H$2819,0),""),"")</f>
        <v/>
      </c>
      <c r="H2163" t="str">
        <f t="shared" si="33"/>
        <v/>
      </c>
    </row>
    <row r="2164" spans="1:8" ht="19.95" customHeight="1">
      <c r="A2164" s="5" t="str">
        <f>IF($G2164="","",INDEX('EDS Lookup'!$D$6:$D$2819,$G2164))</f>
        <v/>
      </c>
      <c r="B2164" s="5" t="str">
        <f>IF($G2164="","",INDEX('EDS Lookup'!$B$6:$B$2819,$G2164))</f>
        <v/>
      </c>
      <c r="C2164" s="17"/>
      <c r="D2164" s="6"/>
      <c r="E2164" s="7" t="str">
        <f>IF($G2164="","",INDEX('EDS Lookup'!$F$6:$F$2819,$G2164))</f>
        <v/>
      </c>
      <c r="F2164" s="8" t="str">
        <f>IF($G2164="","",INDEX('EDS Lookup'!$G$6:$G$2819,$G2164))</f>
        <v/>
      </c>
      <c r="G2164" t="str">
        <f>IF(2141&lt;=$B$4,IFERROR(MATCH(2141,'EDS Lookup'!$H$6:$H$2819,0),""),"")</f>
        <v/>
      </c>
      <c r="H2164" t="str">
        <f t="shared" si="33"/>
        <v/>
      </c>
    </row>
    <row r="2165" spans="1:8" ht="19.95" customHeight="1">
      <c r="A2165" s="5" t="str">
        <f>IF($G2165="","",INDEX('EDS Lookup'!$D$6:$D$2819,$G2165))</f>
        <v/>
      </c>
      <c r="B2165" s="5" t="str">
        <f>IF($G2165="","",INDEX('EDS Lookup'!$B$6:$B$2819,$G2165))</f>
        <v/>
      </c>
      <c r="C2165" s="17"/>
      <c r="D2165" s="6"/>
      <c r="E2165" s="7" t="str">
        <f>IF($G2165="","",INDEX('EDS Lookup'!$F$6:$F$2819,$G2165))</f>
        <v/>
      </c>
      <c r="F2165" s="8" t="str">
        <f>IF($G2165="","",INDEX('EDS Lookup'!$G$6:$G$2819,$G2165))</f>
        <v/>
      </c>
      <c r="G2165" t="str">
        <f>IF(2142&lt;=$B$4,IFERROR(MATCH(2142,'EDS Lookup'!$H$6:$H$2819,0),""),"")</f>
        <v/>
      </c>
      <c r="H2165" t="str">
        <f t="shared" si="33"/>
        <v/>
      </c>
    </row>
    <row r="2166" spans="1:8" ht="19.95" customHeight="1">
      <c r="A2166" s="5" t="str">
        <f>IF($G2166="","",INDEX('EDS Lookup'!$D$6:$D$2819,$G2166))</f>
        <v/>
      </c>
      <c r="B2166" s="5" t="str">
        <f>IF($G2166="","",INDEX('EDS Lookup'!$B$6:$B$2819,$G2166))</f>
        <v/>
      </c>
      <c r="C2166" s="17"/>
      <c r="D2166" s="6"/>
      <c r="E2166" s="7" t="str">
        <f>IF($G2166="","",INDEX('EDS Lookup'!$F$6:$F$2819,$G2166))</f>
        <v/>
      </c>
      <c r="F2166" s="8" t="str">
        <f>IF($G2166="","",INDEX('EDS Lookup'!$G$6:$G$2819,$G2166))</f>
        <v/>
      </c>
      <c r="G2166" t="str">
        <f>IF(2143&lt;=$B$4,IFERROR(MATCH(2143,'EDS Lookup'!$H$6:$H$2819,0),""),"")</f>
        <v/>
      </c>
      <c r="H2166" t="str">
        <f t="shared" si="33"/>
        <v/>
      </c>
    </row>
    <row r="2167" spans="1:8" ht="19.95" customHeight="1">
      <c r="A2167" s="5" t="str">
        <f>IF($G2167="","",INDEX('EDS Lookup'!$D$6:$D$2819,$G2167))</f>
        <v/>
      </c>
      <c r="B2167" s="5" t="str">
        <f>IF($G2167="","",INDEX('EDS Lookup'!$B$6:$B$2819,$G2167))</f>
        <v/>
      </c>
      <c r="C2167" s="17"/>
      <c r="D2167" s="6"/>
      <c r="E2167" s="7" t="str">
        <f>IF($G2167="","",INDEX('EDS Lookup'!$F$6:$F$2819,$G2167))</f>
        <v/>
      </c>
      <c r="F2167" s="8" t="str">
        <f>IF($G2167="","",INDEX('EDS Lookup'!$G$6:$G$2819,$G2167))</f>
        <v/>
      </c>
      <c r="G2167" t="str">
        <f>IF(2144&lt;=$B$4,IFERROR(MATCH(2144,'EDS Lookup'!$H$6:$H$2819,0),""),"")</f>
        <v/>
      </c>
      <c r="H2167" t="str">
        <f t="shared" si="33"/>
        <v/>
      </c>
    </row>
    <row r="2168" spans="1:8" ht="19.95" customHeight="1">
      <c r="A2168" s="5" t="str">
        <f>IF($G2168="","",INDEX('EDS Lookup'!$D$6:$D$2819,$G2168))</f>
        <v/>
      </c>
      <c r="B2168" s="5" t="str">
        <f>IF($G2168="","",INDEX('EDS Lookup'!$B$6:$B$2819,$G2168))</f>
        <v/>
      </c>
      <c r="C2168" s="17"/>
      <c r="D2168" s="6"/>
      <c r="E2168" s="7" t="str">
        <f>IF($G2168="","",INDEX('EDS Lookup'!$F$6:$F$2819,$G2168))</f>
        <v/>
      </c>
      <c r="F2168" s="8" t="str">
        <f>IF($G2168="","",INDEX('EDS Lookup'!$G$6:$G$2819,$G2168))</f>
        <v/>
      </c>
      <c r="G2168" t="str">
        <f>IF(2145&lt;=$B$4,IFERROR(MATCH(2145,'EDS Lookup'!$H$6:$H$2819,0),""),"")</f>
        <v/>
      </c>
      <c r="H2168" t="str">
        <f t="shared" si="33"/>
        <v/>
      </c>
    </row>
    <row r="2169" spans="1:8" ht="19.95" customHeight="1">
      <c r="A2169" s="5" t="str">
        <f>IF($G2169="","",INDEX('EDS Lookup'!$D$6:$D$2819,$G2169))</f>
        <v/>
      </c>
      <c r="B2169" s="5" t="str">
        <f>IF($G2169="","",INDEX('EDS Lookup'!$B$6:$B$2819,$G2169))</f>
        <v/>
      </c>
      <c r="C2169" s="17"/>
      <c r="D2169" s="6"/>
      <c r="E2169" s="7" t="str">
        <f>IF($G2169="","",INDEX('EDS Lookup'!$F$6:$F$2819,$G2169))</f>
        <v/>
      </c>
      <c r="F2169" s="8" t="str">
        <f>IF($G2169="","",INDEX('EDS Lookup'!$G$6:$G$2819,$G2169))</f>
        <v/>
      </c>
      <c r="G2169" t="str">
        <f>IF(2146&lt;=$B$4,IFERROR(MATCH(2146,'EDS Lookup'!$H$6:$H$2819,0),""),"")</f>
        <v/>
      </c>
      <c r="H2169" t="str">
        <f t="shared" si="33"/>
        <v/>
      </c>
    </row>
    <row r="2170" spans="1:8" ht="19.95" customHeight="1">
      <c r="A2170" s="5" t="str">
        <f>IF($G2170="","",INDEX('EDS Lookup'!$D$6:$D$2819,$G2170))</f>
        <v/>
      </c>
      <c r="B2170" s="5" t="str">
        <f>IF($G2170="","",INDEX('EDS Lookup'!$B$6:$B$2819,$G2170))</f>
        <v/>
      </c>
      <c r="C2170" s="17"/>
      <c r="D2170" s="6"/>
      <c r="E2170" s="7" t="str">
        <f>IF($G2170="","",INDEX('EDS Lookup'!$F$6:$F$2819,$G2170))</f>
        <v/>
      </c>
      <c r="F2170" s="8" t="str">
        <f>IF($G2170="","",INDEX('EDS Lookup'!$G$6:$G$2819,$G2170))</f>
        <v/>
      </c>
      <c r="G2170" t="str">
        <f>IF(2147&lt;=$B$4,IFERROR(MATCH(2147,'EDS Lookup'!$H$6:$H$2819,0),""),"")</f>
        <v/>
      </c>
      <c r="H2170" t="str">
        <f t="shared" si="33"/>
        <v/>
      </c>
    </row>
    <row r="2171" spans="1:8" ht="19.95" customHeight="1">
      <c r="A2171" s="5" t="str">
        <f>IF($G2171="","",INDEX('EDS Lookup'!$D$6:$D$2819,$G2171))</f>
        <v/>
      </c>
      <c r="B2171" s="5" t="str">
        <f>IF($G2171="","",INDEX('EDS Lookup'!$B$6:$B$2819,$G2171))</f>
        <v/>
      </c>
      <c r="C2171" s="17"/>
      <c r="D2171" s="6"/>
      <c r="E2171" s="7" t="str">
        <f>IF($G2171="","",INDEX('EDS Lookup'!$F$6:$F$2819,$G2171))</f>
        <v/>
      </c>
      <c r="F2171" s="8" t="str">
        <f>IF($G2171="","",INDEX('EDS Lookup'!$G$6:$G$2819,$G2171))</f>
        <v/>
      </c>
      <c r="G2171" t="str">
        <f>IF(2148&lt;=$B$4,IFERROR(MATCH(2148,'EDS Lookup'!$H$6:$H$2819,0),""),"")</f>
        <v/>
      </c>
      <c r="H2171" t="str">
        <f t="shared" si="33"/>
        <v/>
      </c>
    </row>
    <row r="2172" spans="1:8" ht="19.95" customHeight="1">
      <c r="A2172" s="5" t="str">
        <f>IF($G2172="","",INDEX('EDS Lookup'!$D$6:$D$2819,$G2172))</f>
        <v/>
      </c>
      <c r="B2172" s="5" t="str">
        <f>IF($G2172="","",INDEX('EDS Lookup'!$B$6:$B$2819,$G2172))</f>
        <v/>
      </c>
      <c r="C2172" s="17"/>
      <c r="D2172" s="6"/>
      <c r="E2172" s="7" t="str">
        <f>IF($G2172="","",INDEX('EDS Lookup'!$F$6:$F$2819,$G2172))</f>
        <v/>
      </c>
      <c r="F2172" s="8" t="str">
        <f>IF($G2172="","",INDEX('EDS Lookup'!$G$6:$G$2819,$G2172))</f>
        <v/>
      </c>
      <c r="G2172" t="str">
        <f>IF(2149&lt;=$B$4,IFERROR(MATCH(2149,'EDS Lookup'!$H$6:$H$2819,0),""),"")</f>
        <v/>
      </c>
      <c r="H2172" t="str">
        <f t="shared" si="33"/>
        <v/>
      </c>
    </row>
    <row r="2173" spans="1:8" ht="19.95" customHeight="1">
      <c r="A2173" s="5" t="str">
        <f>IF($G2173="","",INDEX('EDS Lookup'!$D$6:$D$2819,$G2173))</f>
        <v/>
      </c>
      <c r="B2173" s="5" t="str">
        <f>IF($G2173="","",INDEX('EDS Lookup'!$B$6:$B$2819,$G2173))</f>
        <v/>
      </c>
      <c r="C2173" s="17"/>
      <c r="D2173" s="6"/>
      <c r="E2173" s="7" t="str">
        <f>IF($G2173="","",INDEX('EDS Lookup'!$F$6:$F$2819,$G2173))</f>
        <v/>
      </c>
      <c r="F2173" s="8" t="str">
        <f>IF($G2173="","",INDEX('EDS Lookup'!$G$6:$G$2819,$G2173))</f>
        <v/>
      </c>
      <c r="G2173" t="str">
        <f>IF(2150&lt;=$B$4,IFERROR(MATCH(2150,'EDS Lookup'!$H$6:$H$2819,0),""),"")</f>
        <v/>
      </c>
      <c r="H2173" t="str">
        <f t="shared" si="33"/>
        <v/>
      </c>
    </row>
    <row r="2174" spans="1:8" ht="19.95" customHeight="1">
      <c r="A2174" s="5" t="str">
        <f>IF($G2174="","",INDEX('EDS Lookup'!$D$6:$D$2819,$G2174))</f>
        <v/>
      </c>
      <c r="B2174" s="5" t="str">
        <f>IF($G2174="","",INDEX('EDS Lookup'!$B$6:$B$2819,$G2174))</f>
        <v/>
      </c>
      <c r="C2174" s="17"/>
      <c r="D2174" s="6"/>
      <c r="E2174" s="7" t="str">
        <f>IF($G2174="","",INDEX('EDS Lookup'!$F$6:$F$2819,$G2174))</f>
        <v/>
      </c>
      <c r="F2174" s="8" t="str">
        <f>IF($G2174="","",INDEX('EDS Lookup'!$G$6:$G$2819,$G2174))</f>
        <v/>
      </c>
      <c r="G2174" t="str">
        <f>IF(2151&lt;=$B$4,IFERROR(MATCH(2151,'EDS Lookup'!$H$6:$H$2819,0),""),"")</f>
        <v/>
      </c>
      <c r="H2174" t="str">
        <f t="shared" si="33"/>
        <v/>
      </c>
    </row>
    <row r="2175" spans="1:8" ht="19.95" customHeight="1">
      <c r="A2175" s="5" t="str">
        <f>IF($G2175="","",INDEX('EDS Lookup'!$D$6:$D$2819,$G2175))</f>
        <v/>
      </c>
      <c r="B2175" s="5" t="str">
        <f>IF($G2175="","",INDEX('EDS Lookup'!$B$6:$B$2819,$G2175))</f>
        <v/>
      </c>
      <c r="C2175" s="17"/>
      <c r="D2175" s="6"/>
      <c r="E2175" s="7" t="str">
        <f>IF($G2175="","",INDEX('EDS Lookup'!$F$6:$F$2819,$G2175))</f>
        <v/>
      </c>
      <c r="F2175" s="8" t="str">
        <f>IF($G2175="","",INDEX('EDS Lookup'!$G$6:$G$2819,$G2175))</f>
        <v/>
      </c>
      <c r="G2175" t="str">
        <f>IF(2152&lt;=$B$4,IFERROR(MATCH(2152,'EDS Lookup'!$H$6:$H$2819,0),""),"")</f>
        <v/>
      </c>
      <c r="H2175" t="str">
        <f t="shared" si="33"/>
        <v/>
      </c>
    </row>
    <row r="2176" spans="1:8" ht="19.95" customHeight="1">
      <c r="A2176" s="5" t="str">
        <f>IF($G2176="","",INDEX('EDS Lookup'!$D$6:$D$2819,$G2176))</f>
        <v/>
      </c>
      <c r="B2176" s="5" t="str">
        <f>IF($G2176="","",INDEX('EDS Lookup'!$B$6:$B$2819,$G2176))</f>
        <v/>
      </c>
      <c r="C2176" s="17"/>
      <c r="D2176" s="6"/>
      <c r="E2176" s="7" t="str">
        <f>IF($G2176="","",INDEX('EDS Lookup'!$F$6:$F$2819,$G2176))</f>
        <v/>
      </c>
      <c r="F2176" s="8" t="str">
        <f>IF($G2176="","",INDEX('EDS Lookup'!$G$6:$G$2819,$G2176))</f>
        <v/>
      </c>
      <c r="G2176" t="str">
        <f>IF(2153&lt;=$B$4,IFERROR(MATCH(2153,'EDS Lookup'!$H$6:$H$2819,0),""),"")</f>
        <v/>
      </c>
      <c r="H2176" t="str">
        <f t="shared" si="33"/>
        <v/>
      </c>
    </row>
    <row r="2177" spans="1:8" ht="19.95" customHeight="1">
      <c r="A2177" s="5" t="str">
        <f>IF($G2177="","",INDEX('EDS Lookup'!$D$6:$D$2819,$G2177))</f>
        <v/>
      </c>
      <c r="B2177" s="5" t="str">
        <f>IF($G2177="","",INDEX('EDS Lookup'!$B$6:$B$2819,$G2177))</f>
        <v/>
      </c>
      <c r="C2177" s="17"/>
      <c r="D2177" s="6"/>
      <c r="E2177" s="7" t="str">
        <f>IF($G2177="","",INDEX('EDS Lookup'!$F$6:$F$2819,$G2177))</f>
        <v/>
      </c>
      <c r="F2177" s="8" t="str">
        <f>IF($G2177="","",INDEX('EDS Lookup'!$G$6:$G$2819,$G2177))</f>
        <v/>
      </c>
      <c r="G2177" t="str">
        <f>IF(2154&lt;=$B$4,IFERROR(MATCH(2154,'EDS Lookup'!$H$6:$H$2819,0),""),"")</f>
        <v/>
      </c>
      <c r="H2177" t="str">
        <f t="shared" si="33"/>
        <v/>
      </c>
    </row>
    <row r="2178" spans="1:8" ht="19.95" customHeight="1">
      <c r="A2178" s="5" t="str">
        <f>IF($G2178="","",INDEX('EDS Lookup'!$D$6:$D$2819,$G2178))</f>
        <v/>
      </c>
      <c r="B2178" s="5" t="str">
        <f>IF($G2178="","",INDEX('EDS Lookup'!$B$6:$B$2819,$G2178))</f>
        <v/>
      </c>
      <c r="C2178" s="17"/>
      <c r="D2178" s="6"/>
      <c r="E2178" s="7" t="str">
        <f>IF($G2178="","",INDEX('EDS Lookup'!$F$6:$F$2819,$G2178))</f>
        <v/>
      </c>
      <c r="F2178" s="8" t="str">
        <f>IF($G2178="","",INDEX('EDS Lookup'!$G$6:$G$2819,$G2178))</f>
        <v/>
      </c>
      <c r="G2178" t="str">
        <f>IF(2155&lt;=$B$4,IFERROR(MATCH(2155,'EDS Lookup'!$H$6:$H$2819,0),""),"")</f>
        <v/>
      </c>
      <c r="H2178" t="str">
        <f t="shared" si="33"/>
        <v/>
      </c>
    </row>
    <row r="2179" spans="1:8" ht="19.95" customHeight="1">
      <c r="A2179" s="5" t="str">
        <f>IF($G2179="","",INDEX('EDS Lookup'!$D$6:$D$2819,$G2179))</f>
        <v/>
      </c>
      <c r="B2179" s="5" t="str">
        <f>IF($G2179="","",INDEX('EDS Lookup'!$B$6:$B$2819,$G2179))</f>
        <v/>
      </c>
      <c r="C2179" s="17"/>
      <c r="D2179" s="6"/>
      <c r="E2179" s="7" t="str">
        <f>IF($G2179="","",INDEX('EDS Lookup'!$F$6:$F$2819,$G2179))</f>
        <v/>
      </c>
      <c r="F2179" s="8" t="str">
        <f>IF($G2179="","",INDEX('EDS Lookup'!$G$6:$G$2819,$G2179))</f>
        <v/>
      </c>
      <c r="G2179" t="str">
        <f>IF(2156&lt;=$B$4,IFERROR(MATCH(2156,'EDS Lookup'!$H$6:$H$2819,0),""),"")</f>
        <v/>
      </c>
      <c r="H2179" t="str">
        <f t="shared" si="33"/>
        <v/>
      </c>
    </row>
    <row r="2180" spans="1:8" ht="19.95" customHeight="1">
      <c r="A2180" s="5" t="str">
        <f>IF($G2180="","",INDEX('EDS Lookup'!$D$6:$D$2819,$G2180))</f>
        <v/>
      </c>
      <c r="B2180" s="5" t="str">
        <f>IF($G2180="","",INDEX('EDS Lookup'!$B$6:$B$2819,$G2180))</f>
        <v/>
      </c>
      <c r="C2180" s="17"/>
      <c r="D2180" s="6"/>
      <c r="E2180" s="7" t="str">
        <f>IF($G2180="","",INDEX('EDS Lookup'!$F$6:$F$2819,$G2180))</f>
        <v/>
      </c>
      <c r="F2180" s="8" t="str">
        <f>IF($G2180="","",INDEX('EDS Lookup'!$G$6:$G$2819,$G2180))</f>
        <v/>
      </c>
      <c r="G2180" t="str">
        <f>IF(2157&lt;=$B$4,IFERROR(MATCH(2157,'EDS Lookup'!$H$6:$H$2819,0),""),"")</f>
        <v/>
      </c>
      <c r="H2180" t="str">
        <f t="shared" si="33"/>
        <v/>
      </c>
    </row>
    <row r="2181" spans="1:8" ht="19.95" customHeight="1">
      <c r="A2181" s="5" t="str">
        <f>IF($G2181="","",INDEX('EDS Lookup'!$D$6:$D$2819,$G2181))</f>
        <v/>
      </c>
      <c r="B2181" s="5" t="str">
        <f>IF($G2181="","",INDEX('EDS Lookup'!$B$6:$B$2819,$G2181))</f>
        <v/>
      </c>
      <c r="C2181" s="17"/>
      <c r="D2181" s="6"/>
      <c r="E2181" s="7" t="str">
        <f>IF($G2181="","",INDEX('EDS Lookup'!$F$6:$F$2819,$G2181))</f>
        <v/>
      </c>
      <c r="F2181" s="8" t="str">
        <f>IF($G2181="","",INDEX('EDS Lookup'!$G$6:$G$2819,$G2181))</f>
        <v/>
      </c>
      <c r="G2181" t="str">
        <f>IF(2158&lt;=$B$4,IFERROR(MATCH(2158,'EDS Lookup'!$H$6:$H$2819,0),""),"")</f>
        <v/>
      </c>
      <c r="H2181" t="str">
        <f t="shared" si="33"/>
        <v/>
      </c>
    </row>
    <row r="2182" spans="1:8" ht="19.95" customHeight="1">
      <c r="A2182" s="5" t="str">
        <f>IF($G2182="","",INDEX('EDS Lookup'!$D$6:$D$2819,$G2182))</f>
        <v/>
      </c>
      <c r="B2182" s="5" t="str">
        <f>IF($G2182="","",INDEX('EDS Lookup'!$B$6:$B$2819,$G2182))</f>
        <v/>
      </c>
      <c r="C2182" s="17"/>
      <c r="D2182" s="6"/>
      <c r="E2182" s="7" t="str">
        <f>IF($G2182="","",INDEX('EDS Lookup'!$F$6:$F$2819,$G2182))</f>
        <v/>
      </c>
      <c r="F2182" s="8" t="str">
        <f>IF($G2182="","",INDEX('EDS Lookup'!$G$6:$G$2819,$G2182))</f>
        <v/>
      </c>
      <c r="G2182" t="str">
        <f>IF(2159&lt;=$B$4,IFERROR(MATCH(2159,'EDS Lookup'!$H$6:$H$2819,0),""),"")</f>
        <v/>
      </c>
      <c r="H2182" t="str">
        <f t="shared" si="33"/>
        <v/>
      </c>
    </row>
    <row r="2183" spans="1:8" ht="19.95" customHeight="1">
      <c r="A2183" s="5" t="str">
        <f>IF($G2183="","",INDEX('EDS Lookup'!$D$6:$D$2819,$G2183))</f>
        <v/>
      </c>
      <c r="B2183" s="5" t="str">
        <f>IF($G2183="","",INDEX('EDS Lookup'!$B$6:$B$2819,$G2183))</f>
        <v/>
      </c>
      <c r="C2183" s="17"/>
      <c r="D2183" s="6"/>
      <c r="E2183" s="7" t="str">
        <f>IF($G2183="","",INDEX('EDS Lookup'!$F$6:$F$2819,$G2183))</f>
        <v/>
      </c>
      <c r="F2183" s="8" t="str">
        <f>IF($G2183="","",INDEX('EDS Lookup'!$G$6:$G$2819,$G2183))</f>
        <v/>
      </c>
      <c r="G2183" t="str">
        <f>IF(2160&lt;=$B$4,IFERROR(MATCH(2160,'EDS Lookup'!$H$6:$H$2819,0),""),"")</f>
        <v/>
      </c>
      <c r="H2183" t="str">
        <f t="shared" si="33"/>
        <v/>
      </c>
    </row>
    <row r="2184" spans="1:8" ht="19.95" customHeight="1">
      <c r="A2184" s="5" t="str">
        <f>IF($G2184="","",INDEX('EDS Lookup'!$D$6:$D$2819,$G2184))</f>
        <v/>
      </c>
      <c r="B2184" s="5" t="str">
        <f>IF($G2184="","",INDEX('EDS Lookup'!$B$6:$B$2819,$G2184))</f>
        <v/>
      </c>
      <c r="C2184" s="17"/>
      <c r="D2184" s="6"/>
      <c r="E2184" s="7" t="str">
        <f>IF($G2184="","",INDEX('EDS Lookup'!$F$6:$F$2819,$G2184))</f>
        <v/>
      </c>
      <c r="F2184" s="8" t="str">
        <f>IF($G2184="","",INDEX('EDS Lookup'!$G$6:$G$2819,$G2184))</f>
        <v/>
      </c>
      <c r="G2184" t="str">
        <f>IF(2161&lt;=$B$4,IFERROR(MATCH(2161,'EDS Lookup'!$H$6:$H$2819,0),""),"")</f>
        <v/>
      </c>
      <c r="H2184" t="str">
        <f t="shared" si="33"/>
        <v/>
      </c>
    </row>
    <row r="2185" spans="1:8" ht="19.95" customHeight="1">
      <c r="A2185" s="5" t="str">
        <f>IF($G2185="","",INDEX('EDS Lookup'!$D$6:$D$2819,$G2185))</f>
        <v/>
      </c>
      <c r="B2185" s="5" t="str">
        <f>IF($G2185="","",INDEX('EDS Lookup'!$B$6:$B$2819,$G2185))</f>
        <v/>
      </c>
      <c r="C2185" s="17"/>
      <c r="D2185" s="6"/>
      <c r="E2185" s="7" t="str">
        <f>IF($G2185="","",INDEX('EDS Lookup'!$F$6:$F$2819,$G2185))</f>
        <v/>
      </c>
      <c r="F2185" s="8" t="str">
        <f>IF($G2185="","",INDEX('EDS Lookup'!$G$6:$G$2819,$G2185))</f>
        <v/>
      </c>
      <c r="G2185" t="str">
        <f>IF(2162&lt;=$B$4,IFERROR(MATCH(2162,'EDS Lookup'!$H$6:$H$2819,0),""),"")</f>
        <v/>
      </c>
      <c r="H2185" t="str">
        <f t="shared" si="33"/>
        <v/>
      </c>
    </row>
    <row r="2186" spans="1:8" ht="19.95" customHeight="1">
      <c r="A2186" s="5" t="str">
        <f>IF($G2186="","",INDEX('EDS Lookup'!$D$6:$D$2819,$G2186))</f>
        <v/>
      </c>
      <c r="B2186" s="5" t="str">
        <f>IF($G2186="","",INDEX('EDS Lookup'!$B$6:$B$2819,$G2186))</f>
        <v/>
      </c>
      <c r="C2186" s="17"/>
      <c r="D2186" s="6"/>
      <c r="E2186" s="7" t="str">
        <f>IF($G2186="","",INDEX('EDS Lookup'!$F$6:$F$2819,$G2186))</f>
        <v/>
      </c>
      <c r="F2186" s="8" t="str">
        <f>IF($G2186="","",INDEX('EDS Lookup'!$G$6:$G$2819,$G2186))</f>
        <v/>
      </c>
      <c r="G2186" t="str">
        <f>IF(2163&lt;=$B$4,IFERROR(MATCH(2163,'EDS Lookup'!$H$6:$H$2819,0),""),"")</f>
        <v/>
      </c>
      <c r="H2186" t="str">
        <f t="shared" si="33"/>
        <v/>
      </c>
    </row>
    <row r="2187" spans="1:8" ht="19.95" customHeight="1">
      <c r="A2187" s="5" t="str">
        <f>IF($G2187="","",INDEX('EDS Lookup'!$D$6:$D$2819,$G2187))</f>
        <v/>
      </c>
      <c r="B2187" s="5" t="str">
        <f>IF($G2187="","",INDEX('EDS Lookup'!$B$6:$B$2819,$G2187))</f>
        <v/>
      </c>
      <c r="C2187" s="17"/>
      <c r="D2187" s="6"/>
      <c r="E2187" s="7" t="str">
        <f>IF($G2187="","",INDEX('EDS Lookup'!$F$6:$F$2819,$G2187))</f>
        <v/>
      </c>
      <c r="F2187" s="8" t="str">
        <f>IF($G2187="","",INDEX('EDS Lookup'!$G$6:$G$2819,$G2187))</f>
        <v/>
      </c>
      <c r="G2187" t="str">
        <f>IF(2164&lt;=$B$4,IFERROR(MATCH(2164,'EDS Lookup'!$H$6:$H$2819,0),""),"")</f>
        <v/>
      </c>
      <c r="H2187" t="str">
        <f t="shared" si="33"/>
        <v/>
      </c>
    </row>
    <row r="2188" spans="1:8" ht="19.95" customHeight="1">
      <c r="A2188" s="5" t="str">
        <f>IF($G2188="","",INDEX('EDS Lookup'!$D$6:$D$2819,$G2188))</f>
        <v/>
      </c>
      <c r="B2188" s="5" t="str">
        <f>IF($G2188="","",INDEX('EDS Lookup'!$B$6:$B$2819,$G2188))</f>
        <v/>
      </c>
      <c r="C2188" s="17"/>
      <c r="D2188" s="6"/>
      <c r="E2188" s="7" t="str">
        <f>IF($G2188="","",INDEX('EDS Lookup'!$F$6:$F$2819,$G2188))</f>
        <v/>
      </c>
      <c r="F2188" s="8" t="str">
        <f>IF($G2188="","",INDEX('EDS Lookup'!$G$6:$G$2819,$G2188))</f>
        <v/>
      </c>
      <c r="G2188" t="str">
        <f>IF(2165&lt;=$B$4,IFERROR(MATCH(2165,'EDS Lookup'!$H$6:$H$2819,0),""),"")</f>
        <v/>
      </c>
      <c r="H2188" t="str">
        <f t="shared" si="33"/>
        <v/>
      </c>
    </row>
    <row r="2189" spans="1:8" ht="19.95" customHeight="1">
      <c r="A2189" s="5" t="str">
        <f>IF($G2189="","",INDEX('EDS Lookup'!$D$6:$D$2819,$G2189))</f>
        <v/>
      </c>
      <c r="B2189" s="5" t="str">
        <f>IF($G2189="","",INDEX('EDS Lookup'!$B$6:$B$2819,$G2189))</f>
        <v/>
      </c>
      <c r="C2189" s="17"/>
      <c r="D2189" s="6"/>
      <c r="E2189" s="7" t="str">
        <f>IF($G2189="","",INDEX('EDS Lookup'!$F$6:$F$2819,$G2189))</f>
        <v/>
      </c>
      <c r="F2189" s="8" t="str">
        <f>IF($G2189="","",INDEX('EDS Lookup'!$G$6:$G$2819,$G2189))</f>
        <v/>
      </c>
      <c r="G2189" t="str">
        <f>IF(2166&lt;=$B$4,IFERROR(MATCH(2166,'EDS Lookup'!$H$6:$H$2819,0),""),"")</f>
        <v/>
      </c>
      <c r="H2189" t="str">
        <f t="shared" si="33"/>
        <v/>
      </c>
    </row>
    <row r="2190" spans="1:8" ht="19.95" customHeight="1">
      <c r="A2190" s="5" t="str">
        <f>IF($G2190="","",INDEX('EDS Lookup'!$D$6:$D$2819,$G2190))</f>
        <v/>
      </c>
      <c r="B2190" s="5" t="str">
        <f>IF($G2190="","",INDEX('EDS Lookup'!$B$6:$B$2819,$G2190))</f>
        <v/>
      </c>
      <c r="C2190" s="17"/>
      <c r="D2190" s="6"/>
      <c r="E2190" s="7" t="str">
        <f>IF($G2190="","",INDEX('EDS Lookup'!$F$6:$F$2819,$G2190))</f>
        <v/>
      </c>
      <c r="F2190" s="8" t="str">
        <f>IF($G2190="","",INDEX('EDS Lookup'!$G$6:$G$2819,$G2190))</f>
        <v/>
      </c>
      <c r="G2190" t="str">
        <f>IF(2167&lt;=$B$4,IFERROR(MATCH(2167,'EDS Lookup'!$H$6:$H$2819,0),""),"")</f>
        <v/>
      </c>
      <c r="H2190" t="str">
        <f t="shared" si="33"/>
        <v/>
      </c>
    </row>
    <row r="2191" spans="1:8" ht="19.95" customHeight="1">
      <c r="A2191" s="5" t="str">
        <f>IF($G2191="","",INDEX('EDS Lookup'!$D$6:$D$2819,$G2191))</f>
        <v/>
      </c>
      <c r="B2191" s="5" t="str">
        <f>IF($G2191="","",INDEX('EDS Lookup'!$B$6:$B$2819,$G2191))</f>
        <v/>
      </c>
      <c r="C2191" s="17"/>
      <c r="D2191" s="6"/>
      <c r="E2191" s="7" t="str">
        <f>IF($G2191="","",INDEX('EDS Lookup'!$F$6:$F$2819,$G2191))</f>
        <v/>
      </c>
      <c r="F2191" s="8" t="str">
        <f>IF($G2191="","",INDEX('EDS Lookup'!$G$6:$G$2819,$G2191))</f>
        <v/>
      </c>
      <c r="G2191" t="str">
        <f>IF(2168&lt;=$B$4,IFERROR(MATCH(2168,'EDS Lookup'!$H$6:$H$2819,0),""),"")</f>
        <v/>
      </c>
      <c r="H2191" t="str">
        <f t="shared" si="33"/>
        <v/>
      </c>
    </row>
    <row r="2192" spans="1:8" ht="19.95" customHeight="1">
      <c r="A2192" s="5" t="str">
        <f>IF($G2192="","",INDEX('EDS Lookup'!$D$6:$D$2819,$G2192))</f>
        <v/>
      </c>
      <c r="B2192" s="5" t="str">
        <f>IF($G2192="","",INDEX('EDS Lookup'!$B$6:$B$2819,$G2192))</f>
        <v/>
      </c>
      <c r="C2192" s="17"/>
      <c r="D2192" s="6"/>
      <c r="E2192" s="7" t="str">
        <f>IF($G2192="","",INDEX('EDS Lookup'!$F$6:$F$2819,$G2192))</f>
        <v/>
      </c>
      <c r="F2192" s="8" t="str">
        <f>IF($G2192="","",INDEX('EDS Lookup'!$G$6:$G$2819,$G2192))</f>
        <v/>
      </c>
      <c r="G2192" t="str">
        <f>IF(2169&lt;=$B$4,IFERROR(MATCH(2169,'EDS Lookup'!$H$6:$H$2819,0),""),"")</f>
        <v/>
      </c>
      <c r="H2192" t="str">
        <f t="shared" si="33"/>
        <v/>
      </c>
    </row>
    <row r="2193" spans="1:8" ht="19.95" customHeight="1">
      <c r="A2193" s="5" t="str">
        <f>IF($G2193="","",INDEX('EDS Lookup'!$D$6:$D$2819,$G2193))</f>
        <v/>
      </c>
      <c r="B2193" s="5" t="str">
        <f>IF($G2193="","",INDEX('EDS Lookup'!$B$6:$B$2819,$G2193))</f>
        <v/>
      </c>
      <c r="C2193" s="17"/>
      <c r="D2193" s="6"/>
      <c r="E2193" s="7" t="str">
        <f>IF($G2193="","",INDEX('EDS Lookup'!$F$6:$F$2819,$G2193))</f>
        <v/>
      </c>
      <c r="F2193" s="8" t="str">
        <f>IF($G2193="","",INDEX('EDS Lookup'!$G$6:$G$2819,$G2193))</f>
        <v/>
      </c>
      <c r="G2193" t="str">
        <f>IF(2170&lt;=$B$4,IFERROR(MATCH(2170,'EDS Lookup'!$H$6:$H$2819,0),""),"")</f>
        <v/>
      </c>
      <c r="H2193" t="str">
        <f t="shared" si="33"/>
        <v/>
      </c>
    </row>
    <row r="2194" spans="1:8" ht="19.95" customHeight="1">
      <c r="A2194" s="5" t="str">
        <f>IF($G2194="","",INDEX('EDS Lookup'!$D$6:$D$2819,$G2194))</f>
        <v/>
      </c>
      <c r="B2194" s="5" t="str">
        <f>IF($G2194="","",INDEX('EDS Lookup'!$B$6:$B$2819,$G2194))</f>
        <v/>
      </c>
      <c r="C2194" s="17"/>
      <c r="D2194" s="6"/>
      <c r="E2194" s="7" t="str">
        <f>IF($G2194="","",INDEX('EDS Lookup'!$F$6:$F$2819,$G2194))</f>
        <v/>
      </c>
      <c r="F2194" s="8" t="str">
        <f>IF($G2194="","",INDEX('EDS Lookup'!$G$6:$G$2819,$G2194))</f>
        <v/>
      </c>
      <c r="G2194" t="str">
        <f>IF(2171&lt;=$B$4,IFERROR(MATCH(2171,'EDS Lookup'!$H$6:$H$2819,0),""),"")</f>
        <v/>
      </c>
      <c r="H2194" t="str">
        <f t="shared" si="33"/>
        <v/>
      </c>
    </row>
    <row r="2195" spans="1:8" ht="19.95" customHeight="1">
      <c r="A2195" s="5" t="str">
        <f>IF($G2195="","",INDEX('EDS Lookup'!$D$6:$D$2819,$G2195))</f>
        <v/>
      </c>
      <c r="B2195" s="5" t="str">
        <f>IF($G2195="","",INDEX('EDS Lookup'!$B$6:$B$2819,$G2195))</f>
        <v/>
      </c>
      <c r="C2195" s="17"/>
      <c r="D2195" s="6"/>
      <c r="E2195" s="7" t="str">
        <f>IF($G2195="","",INDEX('EDS Lookup'!$F$6:$F$2819,$G2195))</f>
        <v/>
      </c>
      <c r="F2195" s="8" t="str">
        <f>IF($G2195="","",INDEX('EDS Lookup'!$G$6:$G$2819,$G2195))</f>
        <v/>
      </c>
      <c r="G2195" t="str">
        <f>IF(2172&lt;=$B$4,IFERROR(MATCH(2172,'EDS Lookup'!$H$6:$H$2819,0),""),"")</f>
        <v/>
      </c>
      <c r="H2195" t="str">
        <f t="shared" si="33"/>
        <v/>
      </c>
    </row>
    <row r="2196" spans="1:8" ht="19.95" customHeight="1">
      <c r="A2196" s="5" t="str">
        <f>IF($G2196="","",INDEX('EDS Lookup'!$D$6:$D$2819,$G2196))</f>
        <v/>
      </c>
      <c r="B2196" s="5" t="str">
        <f>IF($G2196="","",INDEX('EDS Lookup'!$B$6:$B$2819,$G2196))</f>
        <v/>
      </c>
      <c r="C2196" s="17"/>
      <c r="D2196" s="6"/>
      <c r="E2196" s="7" t="str">
        <f>IF($G2196="","",INDEX('EDS Lookup'!$F$6:$F$2819,$G2196))</f>
        <v/>
      </c>
      <c r="F2196" s="8" t="str">
        <f>IF($G2196="","",INDEX('EDS Lookup'!$G$6:$G$2819,$G2196))</f>
        <v/>
      </c>
      <c r="G2196" t="str">
        <f>IF(2173&lt;=$B$4,IFERROR(MATCH(2173,'EDS Lookup'!$H$6:$H$2819,0),""),"")</f>
        <v/>
      </c>
      <c r="H2196" t="str">
        <f t="shared" si="33"/>
        <v/>
      </c>
    </row>
    <row r="2197" spans="1:8" ht="19.95" customHeight="1">
      <c r="A2197" s="5" t="str">
        <f>IF($G2197="","",INDEX('EDS Lookup'!$D$6:$D$2819,$G2197))</f>
        <v/>
      </c>
      <c r="B2197" s="5" t="str">
        <f>IF($G2197="","",INDEX('EDS Lookup'!$B$6:$B$2819,$G2197))</f>
        <v/>
      </c>
      <c r="C2197" s="17"/>
      <c r="D2197" s="6"/>
      <c r="E2197" s="7" t="str">
        <f>IF($G2197="","",INDEX('EDS Lookup'!$F$6:$F$2819,$G2197))</f>
        <v/>
      </c>
      <c r="F2197" s="8" t="str">
        <f>IF($G2197="","",INDEX('EDS Lookup'!$G$6:$G$2819,$G2197))</f>
        <v/>
      </c>
      <c r="G2197" t="str">
        <f>IF(2174&lt;=$B$4,IFERROR(MATCH(2174,'EDS Lookup'!$H$6:$H$2819,0),""),"")</f>
        <v/>
      </c>
      <c r="H2197" t="str">
        <f t="shared" si="33"/>
        <v/>
      </c>
    </row>
    <row r="2198" spans="1:8" ht="19.95" customHeight="1">
      <c r="A2198" s="5" t="str">
        <f>IF($G2198="","",INDEX('EDS Lookup'!$D$6:$D$2819,$G2198))</f>
        <v/>
      </c>
      <c r="B2198" s="5" t="str">
        <f>IF($G2198="","",INDEX('EDS Lookup'!$B$6:$B$2819,$G2198))</f>
        <v/>
      </c>
      <c r="C2198" s="17"/>
      <c r="D2198" s="6"/>
      <c r="E2198" s="7" t="str">
        <f>IF($G2198="","",INDEX('EDS Lookup'!$F$6:$F$2819,$G2198))</f>
        <v/>
      </c>
      <c r="F2198" s="8" t="str">
        <f>IF($G2198="","",INDEX('EDS Lookup'!$G$6:$G$2819,$G2198))</f>
        <v/>
      </c>
      <c r="G2198" t="str">
        <f>IF(2175&lt;=$B$4,IFERROR(MATCH(2175,'EDS Lookup'!$H$6:$H$2819,0),""),"")</f>
        <v/>
      </c>
      <c r="H2198" t="str">
        <f t="shared" si="33"/>
        <v/>
      </c>
    </row>
    <row r="2199" spans="1:8" ht="19.95" customHeight="1">
      <c r="A2199" s="5" t="str">
        <f>IF($G2199="","",INDEX('EDS Lookup'!$D$6:$D$2819,$G2199))</f>
        <v/>
      </c>
      <c r="B2199" s="5" t="str">
        <f>IF($G2199="","",INDEX('EDS Lookup'!$B$6:$B$2819,$G2199))</f>
        <v/>
      </c>
      <c r="C2199" s="17"/>
      <c r="D2199" s="6"/>
      <c r="E2199" s="7" t="str">
        <f>IF($G2199="","",INDEX('EDS Lookup'!$F$6:$F$2819,$G2199))</f>
        <v/>
      </c>
      <c r="F2199" s="8" t="str">
        <f>IF($G2199="","",INDEX('EDS Lookup'!$G$6:$G$2819,$G2199))</f>
        <v/>
      </c>
      <c r="G2199" t="str">
        <f>IF(2176&lt;=$B$4,IFERROR(MATCH(2176,'EDS Lookup'!$H$6:$H$2819,0),""),"")</f>
        <v/>
      </c>
      <c r="H2199" t="str">
        <f t="shared" si="33"/>
        <v/>
      </c>
    </row>
    <row r="2200" spans="1:8" ht="19.95" customHeight="1">
      <c r="A2200" s="5" t="str">
        <f>IF($G2200="","",INDEX('EDS Lookup'!$D$6:$D$2819,$G2200))</f>
        <v/>
      </c>
      <c r="B2200" s="5" t="str">
        <f>IF($G2200="","",INDEX('EDS Lookup'!$B$6:$B$2819,$G2200))</f>
        <v/>
      </c>
      <c r="C2200" s="17"/>
      <c r="D2200" s="6"/>
      <c r="E2200" s="7" t="str">
        <f>IF($G2200="","",INDEX('EDS Lookup'!$F$6:$F$2819,$G2200))</f>
        <v/>
      </c>
      <c r="F2200" s="8" t="str">
        <f>IF($G2200="","",INDEX('EDS Lookup'!$G$6:$G$2819,$G2200))</f>
        <v/>
      </c>
      <c r="G2200" t="str">
        <f>IF(2177&lt;=$B$4,IFERROR(MATCH(2177,'EDS Lookup'!$H$6:$H$2819,0),""),"")</f>
        <v/>
      </c>
      <c r="H2200" t="str">
        <f t="shared" ref="H2200:H2263" si="34">IF(F2200="&lt;5",5,IF(F2200="&gt;95",95,IF(ISNUMBER(F2200),F2200,"")))</f>
        <v/>
      </c>
    </row>
    <row r="2201" spans="1:8" ht="19.95" customHeight="1">
      <c r="A2201" s="5" t="str">
        <f>IF($G2201="","",INDEX('EDS Lookup'!$D$6:$D$2819,$G2201))</f>
        <v/>
      </c>
      <c r="B2201" s="5" t="str">
        <f>IF($G2201="","",INDEX('EDS Lookup'!$B$6:$B$2819,$G2201))</f>
        <v/>
      </c>
      <c r="C2201" s="17"/>
      <c r="D2201" s="6"/>
      <c r="E2201" s="7" t="str">
        <f>IF($G2201="","",INDEX('EDS Lookup'!$F$6:$F$2819,$G2201))</f>
        <v/>
      </c>
      <c r="F2201" s="8" t="str">
        <f>IF($G2201="","",INDEX('EDS Lookup'!$G$6:$G$2819,$G2201))</f>
        <v/>
      </c>
      <c r="G2201" t="str">
        <f>IF(2178&lt;=$B$4,IFERROR(MATCH(2178,'EDS Lookup'!$H$6:$H$2819,0),""),"")</f>
        <v/>
      </c>
      <c r="H2201" t="str">
        <f t="shared" si="34"/>
        <v/>
      </c>
    </row>
    <row r="2202" spans="1:8" ht="19.95" customHeight="1">
      <c r="A2202" s="5" t="str">
        <f>IF($G2202="","",INDEX('EDS Lookup'!$D$6:$D$2819,$G2202))</f>
        <v/>
      </c>
      <c r="B2202" s="5" t="str">
        <f>IF($G2202="","",INDEX('EDS Lookup'!$B$6:$B$2819,$G2202))</f>
        <v/>
      </c>
      <c r="C2202" s="17"/>
      <c r="D2202" s="6"/>
      <c r="E2202" s="7" t="str">
        <f>IF($G2202="","",INDEX('EDS Lookup'!$F$6:$F$2819,$G2202))</f>
        <v/>
      </c>
      <c r="F2202" s="8" t="str">
        <f>IF($G2202="","",INDEX('EDS Lookup'!$G$6:$G$2819,$G2202))</f>
        <v/>
      </c>
      <c r="G2202" t="str">
        <f>IF(2179&lt;=$B$4,IFERROR(MATCH(2179,'EDS Lookup'!$H$6:$H$2819,0),""),"")</f>
        <v/>
      </c>
      <c r="H2202" t="str">
        <f t="shared" si="34"/>
        <v/>
      </c>
    </row>
    <row r="2203" spans="1:8" ht="19.95" customHeight="1">
      <c r="A2203" s="5" t="str">
        <f>IF($G2203="","",INDEX('EDS Lookup'!$D$6:$D$2819,$G2203))</f>
        <v/>
      </c>
      <c r="B2203" s="5" t="str">
        <f>IF($G2203="","",INDEX('EDS Lookup'!$B$6:$B$2819,$G2203))</f>
        <v/>
      </c>
      <c r="C2203" s="17"/>
      <c r="D2203" s="6"/>
      <c r="E2203" s="7" t="str">
        <f>IF($G2203="","",INDEX('EDS Lookup'!$F$6:$F$2819,$G2203))</f>
        <v/>
      </c>
      <c r="F2203" s="8" t="str">
        <f>IF($G2203="","",INDEX('EDS Lookup'!$G$6:$G$2819,$G2203))</f>
        <v/>
      </c>
      <c r="G2203" t="str">
        <f>IF(2180&lt;=$B$4,IFERROR(MATCH(2180,'EDS Lookup'!$H$6:$H$2819,0),""),"")</f>
        <v/>
      </c>
      <c r="H2203" t="str">
        <f t="shared" si="34"/>
        <v/>
      </c>
    </row>
    <row r="2204" spans="1:8" ht="19.95" customHeight="1">
      <c r="A2204" s="5" t="str">
        <f>IF($G2204="","",INDEX('EDS Lookup'!$D$6:$D$2819,$G2204))</f>
        <v/>
      </c>
      <c r="B2204" s="5" t="str">
        <f>IF($G2204="","",INDEX('EDS Lookup'!$B$6:$B$2819,$G2204))</f>
        <v/>
      </c>
      <c r="C2204" s="17"/>
      <c r="D2204" s="6"/>
      <c r="E2204" s="7" t="str">
        <f>IF($G2204="","",INDEX('EDS Lookup'!$F$6:$F$2819,$G2204))</f>
        <v/>
      </c>
      <c r="F2204" s="8" t="str">
        <f>IF($G2204="","",INDEX('EDS Lookup'!$G$6:$G$2819,$G2204))</f>
        <v/>
      </c>
      <c r="G2204" t="str">
        <f>IF(2181&lt;=$B$4,IFERROR(MATCH(2181,'EDS Lookup'!$H$6:$H$2819,0),""),"")</f>
        <v/>
      </c>
      <c r="H2204" t="str">
        <f t="shared" si="34"/>
        <v/>
      </c>
    </row>
    <row r="2205" spans="1:8" ht="19.95" customHeight="1">
      <c r="A2205" s="5" t="str">
        <f>IF($G2205="","",INDEX('EDS Lookup'!$D$6:$D$2819,$G2205))</f>
        <v/>
      </c>
      <c r="B2205" s="5" t="str">
        <f>IF($G2205="","",INDEX('EDS Lookup'!$B$6:$B$2819,$G2205))</f>
        <v/>
      </c>
      <c r="C2205" s="17"/>
      <c r="D2205" s="6"/>
      <c r="E2205" s="7" t="str">
        <f>IF($G2205="","",INDEX('EDS Lookup'!$F$6:$F$2819,$G2205))</f>
        <v/>
      </c>
      <c r="F2205" s="8" t="str">
        <f>IF($G2205="","",INDEX('EDS Lookup'!$G$6:$G$2819,$G2205))</f>
        <v/>
      </c>
      <c r="G2205" t="str">
        <f>IF(2182&lt;=$B$4,IFERROR(MATCH(2182,'EDS Lookup'!$H$6:$H$2819,0),""),"")</f>
        <v/>
      </c>
      <c r="H2205" t="str">
        <f t="shared" si="34"/>
        <v/>
      </c>
    </row>
    <row r="2206" spans="1:8" ht="19.95" customHeight="1">
      <c r="A2206" s="5" t="str">
        <f>IF($G2206="","",INDEX('EDS Lookup'!$D$6:$D$2819,$G2206))</f>
        <v/>
      </c>
      <c r="B2206" s="5" t="str">
        <f>IF($G2206="","",INDEX('EDS Lookup'!$B$6:$B$2819,$G2206))</f>
        <v/>
      </c>
      <c r="C2206" s="17"/>
      <c r="D2206" s="6"/>
      <c r="E2206" s="7" t="str">
        <f>IF($G2206="","",INDEX('EDS Lookup'!$F$6:$F$2819,$G2206))</f>
        <v/>
      </c>
      <c r="F2206" s="8" t="str">
        <f>IF($G2206="","",INDEX('EDS Lookup'!$G$6:$G$2819,$G2206))</f>
        <v/>
      </c>
      <c r="G2206" t="str">
        <f>IF(2183&lt;=$B$4,IFERROR(MATCH(2183,'EDS Lookup'!$H$6:$H$2819,0),""),"")</f>
        <v/>
      </c>
      <c r="H2206" t="str">
        <f t="shared" si="34"/>
        <v/>
      </c>
    </row>
    <row r="2207" spans="1:8" ht="19.95" customHeight="1">
      <c r="A2207" s="5" t="str">
        <f>IF($G2207="","",INDEX('EDS Lookup'!$D$6:$D$2819,$G2207))</f>
        <v/>
      </c>
      <c r="B2207" s="5" t="str">
        <f>IF($G2207="","",INDEX('EDS Lookup'!$B$6:$B$2819,$G2207))</f>
        <v/>
      </c>
      <c r="C2207" s="17"/>
      <c r="D2207" s="6"/>
      <c r="E2207" s="7" t="str">
        <f>IF($G2207="","",INDEX('EDS Lookup'!$F$6:$F$2819,$G2207))</f>
        <v/>
      </c>
      <c r="F2207" s="8" t="str">
        <f>IF($G2207="","",INDEX('EDS Lookup'!$G$6:$G$2819,$G2207))</f>
        <v/>
      </c>
      <c r="G2207" t="str">
        <f>IF(2184&lt;=$B$4,IFERROR(MATCH(2184,'EDS Lookup'!$H$6:$H$2819,0),""),"")</f>
        <v/>
      </c>
      <c r="H2207" t="str">
        <f t="shared" si="34"/>
        <v/>
      </c>
    </row>
    <row r="2208" spans="1:8" ht="19.95" customHeight="1">
      <c r="A2208" s="5" t="str">
        <f>IF($G2208="","",INDEX('EDS Lookup'!$D$6:$D$2819,$G2208))</f>
        <v/>
      </c>
      <c r="B2208" s="5" t="str">
        <f>IF($G2208="","",INDEX('EDS Lookup'!$B$6:$B$2819,$G2208))</f>
        <v/>
      </c>
      <c r="C2208" s="17"/>
      <c r="D2208" s="6"/>
      <c r="E2208" s="7" t="str">
        <f>IF($G2208="","",INDEX('EDS Lookup'!$F$6:$F$2819,$G2208))</f>
        <v/>
      </c>
      <c r="F2208" s="8" t="str">
        <f>IF($G2208="","",INDEX('EDS Lookup'!$G$6:$G$2819,$G2208))</f>
        <v/>
      </c>
      <c r="G2208" t="str">
        <f>IF(2185&lt;=$B$4,IFERROR(MATCH(2185,'EDS Lookup'!$H$6:$H$2819,0),""),"")</f>
        <v/>
      </c>
      <c r="H2208" t="str">
        <f t="shared" si="34"/>
        <v/>
      </c>
    </row>
    <row r="2209" spans="1:8" ht="19.95" customHeight="1">
      <c r="A2209" s="5" t="str">
        <f>IF($G2209="","",INDEX('EDS Lookup'!$D$6:$D$2819,$G2209))</f>
        <v/>
      </c>
      <c r="B2209" s="5" t="str">
        <f>IF($G2209="","",INDEX('EDS Lookup'!$B$6:$B$2819,$G2209))</f>
        <v/>
      </c>
      <c r="C2209" s="17"/>
      <c r="D2209" s="6"/>
      <c r="E2209" s="7" t="str">
        <f>IF($G2209="","",INDEX('EDS Lookup'!$F$6:$F$2819,$G2209))</f>
        <v/>
      </c>
      <c r="F2209" s="8" t="str">
        <f>IF($G2209="","",INDEX('EDS Lookup'!$G$6:$G$2819,$G2209))</f>
        <v/>
      </c>
      <c r="G2209" t="str">
        <f>IF(2186&lt;=$B$4,IFERROR(MATCH(2186,'EDS Lookup'!$H$6:$H$2819,0),""),"")</f>
        <v/>
      </c>
      <c r="H2209" t="str">
        <f t="shared" si="34"/>
        <v/>
      </c>
    </row>
    <row r="2210" spans="1:8" ht="19.95" customHeight="1">
      <c r="A2210" s="5" t="str">
        <f>IF($G2210="","",INDEX('EDS Lookup'!$D$6:$D$2819,$G2210))</f>
        <v/>
      </c>
      <c r="B2210" s="5" t="str">
        <f>IF($G2210="","",INDEX('EDS Lookup'!$B$6:$B$2819,$G2210))</f>
        <v/>
      </c>
      <c r="C2210" s="17"/>
      <c r="D2210" s="6"/>
      <c r="E2210" s="7" t="str">
        <f>IF($G2210="","",INDEX('EDS Lookup'!$F$6:$F$2819,$G2210))</f>
        <v/>
      </c>
      <c r="F2210" s="8" t="str">
        <f>IF($G2210="","",INDEX('EDS Lookup'!$G$6:$G$2819,$G2210))</f>
        <v/>
      </c>
      <c r="G2210" t="str">
        <f>IF(2187&lt;=$B$4,IFERROR(MATCH(2187,'EDS Lookup'!$H$6:$H$2819,0),""),"")</f>
        <v/>
      </c>
      <c r="H2210" t="str">
        <f t="shared" si="34"/>
        <v/>
      </c>
    </row>
    <row r="2211" spans="1:8" ht="19.95" customHeight="1">
      <c r="A2211" s="5" t="str">
        <f>IF($G2211="","",INDEX('EDS Lookup'!$D$6:$D$2819,$G2211))</f>
        <v/>
      </c>
      <c r="B2211" s="5" t="str">
        <f>IF($G2211="","",INDEX('EDS Lookup'!$B$6:$B$2819,$G2211))</f>
        <v/>
      </c>
      <c r="C2211" s="17"/>
      <c r="D2211" s="6"/>
      <c r="E2211" s="7" t="str">
        <f>IF($G2211="","",INDEX('EDS Lookup'!$F$6:$F$2819,$G2211))</f>
        <v/>
      </c>
      <c r="F2211" s="8" t="str">
        <f>IF($G2211="","",INDEX('EDS Lookup'!$G$6:$G$2819,$G2211))</f>
        <v/>
      </c>
      <c r="G2211" t="str">
        <f>IF(2188&lt;=$B$4,IFERROR(MATCH(2188,'EDS Lookup'!$H$6:$H$2819,0),""),"")</f>
        <v/>
      </c>
      <c r="H2211" t="str">
        <f t="shared" si="34"/>
        <v/>
      </c>
    </row>
    <row r="2212" spans="1:8" ht="19.95" customHeight="1">
      <c r="A2212" s="5" t="str">
        <f>IF($G2212="","",INDEX('EDS Lookup'!$D$6:$D$2819,$G2212))</f>
        <v/>
      </c>
      <c r="B2212" s="5" t="str">
        <f>IF($G2212="","",INDEX('EDS Lookup'!$B$6:$B$2819,$G2212))</f>
        <v/>
      </c>
      <c r="C2212" s="17"/>
      <c r="D2212" s="6"/>
      <c r="E2212" s="7" t="str">
        <f>IF($G2212="","",INDEX('EDS Lookup'!$F$6:$F$2819,$G2212))</f>
        <v/>
      </c>
      <c r="F2212" s="8" t="str">
        <f>IF($G2212="","",INDEX('EDS Lookup'!$G$6:$G$2819,$G2212))</f>
        <v/>
      </c>
      <c r="G2212" t="str">
        <f>IF(2189&lt;=$B$4,IFERROR(MATCH(2189,'EDS Lookup'!$H$6:$H$2819,0),""),"")</f>
        <v/>
      </c>
      <c r="H2212" t="str">
        <f t="shared" si="34"/>
        <v/>
      </c>
    </row>
    <row r="2213" spans="1:8" ht="19.95" customHeight="1">
      <c r="A2213" s="5" t="str">
        <f>IF($G2213="","",INDEX('EDS Lookup'!$D$6:$D$2819,$G2213))</f>
        <v/>
      </c>
      <c r="B2213" s="5" t="str">
        <f>IF($G2213="","",INDEX('EDS Lookup'!$B$6:$B$2819,$G2213))</f>
        <v/>
      </c>
      <c r="C2213" s="17"/>
      <c r="D2213" s="6"/>
      <c r="E2213" s="7" t="str">
        <f>IF($G2213="","",INDEX('EDS Lookup'!$F$6:$F$2819,$G2213))</f>
        <v/>
      </c>
      <c r="F2213" s="8" t="str">
        <f>IF($G2213="","",INDEX('EDS Lookup'!$G$6:$G$2819,$G2213))</f>
        <v/>
      </c>
      <c r="G2213" t="str">
        <f>IF(2190&lt;=$B$4,IFERROR(MATCH(2190,'EDS Lookup'!$H$6:$H$2819,0),""),"")</f>
        <v/>
      </c>
      <c r="H2213" t="str">
        <f t="shared" si="34"/>
        <v/>
      </c>
    </row>
    <row r="2214" spans="1:8" ht="19.95" customHeight="1">
      <c r="A2214" s="5" t="str">
        <f>IF($G2214="","",INDEX('EDS Lookup'!$D$6:$D$2819,$G2214))</f>
        <v/>
      </c>
      <c r="B2214" s="5" t="str">
        <f>IF($G2214="","",INDEX('EDS Lookup'!$B$6:$B$2819,$G2214))</f>
        <v/>
      </c>
      <c r="C2214" s="17"/>
      <c r="D2214" s="6"/>
      <c r="E2214" s="7" t="str">
        <f>IF($G2214="","",INDEX('EDS Lookup'!$F$6:$F$2819,$G2214))</f>
        <v/>
      </c>
      <c r="F2214" s="8" t="str">
        <f>IF($G2214="","",INDEX('EDS Lookup'!$G$6:$G$2819,$G2214))</f>
        <v/>
      </c>
      <c r="G2214" t="str">
        <f>IF(2191&lt;=$B$4,IFERROR(MATCH(2191,'EDS Lookup'!$H$6:$H$2819,0),""),"")</f>
        <v/>
      </c>
      <c r="H2214" t="str">
        <f t="shared" si="34"/>
        <v/>
      </c>
    </row>
    <row r="2215" spans="1:8" ht="19.95" customHeight="1">
      <c r="A2215" s="5" t="str">
        <f>IF($G2215="","",INDEX('EDS Lookup'!$D$6:$D$2819,$G2215))</f>
        <v/>
      </c>
      <c r="B2215" s="5" t="str">
        <f>IF($G2215="","",INDEX('EDS Lookup'!$B$6:$B$2819,$G2215))</f>
        <v/>
      </c>
      <c r="C2215" s="17"/>
      <c r="D2215" s="6"/>
      <c r="E2215" s="7" t="str">
        <f>IF($G2215="","",INDEX('EDS Lookup'!$F$6:$F$2819,$G2215))</f>
        <v/>
      </c>
      <c r="F2215" s="8" t="str">
        <f>IF($G2215="","",INDEX('EDS Lookup'!$G$6:$G$2819,$G2215))</f>
        <v/>
      </c>
      <c r="G2215" t="str">
        <f>IF(2192&lt;=$B$4,IFERROR(MATCH(2192,'EDS Lookup'!$H$6:$H$2819,0),""),"")</f>
        <v/>
      </c>
      <c r="H2215" t="str">
        <f t="shared" si="34"/>
        <v/>
      </c>
    </row>
    <row r="2216" spans="1:8" ht="19.95" customHeight="1">
      <c r="A2216" s="5" t="str">
        <f>IF($G2216="","",INDEX('EDS Lookup'!$D$6:$D$2819,$G2216))</f>
        <v/>
      </c>
      <c r="B2216" s="5" t="str">
        <f>IF($G2216="","",INDEX('EDS Lookup'!$B$6:$B$2819,$G2216))</f>
        <v/>
      </c>
      <c r="C2216" s="17"/>
      <c r="D2216" s="6"/>
      <c r="E2216" s="7" t="str">
        <f>IF($G2216="","",INDEX('EDS Lookup'!$F$6:$F$2819,$G2216))</f>
        <v/>
      </c>
      <c r="F2216" s="8" t="str">
        <f>IF($G2216="","",INDEX('EDS Lookup'!$G$6:$G$2819,$G2216))</f>
        <v/>
      </c>
      <c r="G2216" t="str">
        <f>IF(2193&lt;=$B$4,IFERROR(MATCH(2193,'EDS Lookup'!$H$6:$H$2819,0),""),"")</f>
        <v/>
      </c>
      <c r="H2216" t="str">
        <f t="shared" si="34"/>
        <v/>
      </c>
    </row>
    <row r="2217" spans="1:8" ht="19.95" customHeight="1">
      <c r="A2217" s="5" t="str">
        <f>IF($G2217="","",INDEX('EDS Lookup'!$D$6:$D$2819,$G2217))</f>
        <v/>
      </c>
      <c r="B2217" s="5" t="str">
        <f>IF($G2217="","",INDEX('EDS Lookup'!$B$6:$B$2819,$G2217))</f>
        <v/>
      </c>
      <c r="C2217" s="17"/>
      <c r="D2217" s="6"/>
      <c r="E2217" s="7" t="str">
        <f>IF($G2217="","",INDEX('EDS Lookup'!$F$6:$F$2819,$G2217))</f>
        <v/>
      </c>
      <c r="F2217" s="8" t="str">
        <f>IF($G2217="","",INDEX('EDS Lookup'!$G$6:$G$2819,$G2217))</f>
        <v/>
      </c>
      <c r="G2217" t="str">
        <f>IF(2194&lt;=$B$4,IFERROR(MATCH(2194,'EDS Lookup'!$H$6:$H$2819,0),""),"")</f>
        <v/>
      </c>
      <c r="H2217" t="str">
        <f t="shared" si="34"/>
        <v/>
      </c>
    </row>
    <row r="2218" spans="1:8" ht="19.95" customHeight="1">
      <c r="A2218" s="5" t="str">
        <f>IF($G2218="","",INDEX('EDS Lookup'!$D$6:$D$2819,$G2218))</f>
        <v/>
      </c>
      <c r="B2218" s="5" t="str">
        <f>IF($G2218="","",INDEX('EDS Lookup'!$B$6:$B$2819,$G2218))</f>
        <v/>
      </c>
      <c r="C2218" s="17"/>
      <c r="D2218" s="6"/>
      <c r="E2218" s="7" t="str">
        <f>IF($G2218="","",INDEX('EDS Lookup'!$F$6:$F$2819,$G2218))</f>
        <v/>
      </c>
      <c r="F2218" s="8" t="str">
        <f>IF($G2218="","",INDEX('EDS Lookup'!$G$6:$G$2819,$G2218))</f>
        <v/>
      </c>
      <c r="G2218" t="str">
        <f>IF(2195&lt;=$B$4,IFERROR(MATCH(2195,'EDS Lookup'!$H$6:$H$2819,0),""),"")</f>
        <v/>
      </c>
      <c r="H2218" t="str">
        <f t="shared" si="34"/>
        <v/>
      </c>
    </row>
    <row r="2219" spans="1:8" ht="19.95" customHeight="1">
      <c r="A2219" s="5" t="str">
        <f>IF($G2219="","",INDEX('EDS Lookup'!$D$6:$D$2819,$G2219))</f>
        <v/>
      </c>
      <c r="B2219" s="5" t="str">
        <f>IF($G2219="","",INDEX('EDS Lookup'!$B$6:$B$2819,$G2219))</f>
        <v/>
      </c>
      <c r="C2219" s="17"/>
      <c r="D2219" s="6"/>
      <c r="E2219" s="7" t="str">
        <f>IF($G2219="","",INDEX('EDS Lookup'!$F$6:$F$2819,$G2219))</f>
        <v/>
      </c>
      <c r="F2219" s="8" t="str">
        <f>IF($G2219="","",INDEX('EDS Lookup'!$G$6:$G$2819,$G2219))</f>
        <v/>
      </c>
      <c r="G2219" t="str">
        <f>IF(2196&lt;=$B$4,IFERROR(MATCH(2196,'EDS Lookup'!$H$6:$H$2819,0),""),"")</f>
        <v/>
      </c>
      <c r="H2219" t="str">
        <f t="shared" si="34"/>
        <v/>
      </c>
    </row>
    <row r="2220" spans="1:8" ht="19.95" customHeight="1">
      <c r="A2220" s="5" t="str">
        <f>IF($G2220="","",INDEX('EDS Lookup'!$D$6:$D$2819,$G2220))</f>
        <v/>
      </c>
      <c r="B2220" s="5" t="str">
        <f>IF($G2220="","",INDEX('EDS Lookup'!$B$6:$B$2819,$G2220))</f>
        <v/>
      </c>
      <c r="C2220" s="17"/>
      <c r="D2220" s="6"/>
      <c r="E2220" s="7" t="str">
        <f>IF($G2220="","",INDEX('EDS Lookup'!$F$6:$F$2819,$G2220))</f>
        <v/>
      </c>
      <c r="F2220" s="8" t="str">
        <f>IF($G2220="","",INDEX('EDS Lookup'!$G$6:$G$2819,$G2220))</f>
        <v/>
      </c>
      <c r="G2220" t="str">
        <f>IF(2197&lt;=$B$4,IFERROR(MATCH(2197,'EDS Lookup'!$H$6:$H$2819,0),""),"")</f>
        <v/>
      </c>
      <c r="H2220" t="str">
        <f t="shared" si="34"/>
        <v/>
      </c>
    </row>
    <row r="2221" spans="1:8" ht="19.95" customHeight="1">
      <c r="A2221" s="5" t="str">
        <f>IF($G2221="","",INDEX('EDS Lookup'!$D$6:$D$2819,$G2221))</f>
        <v/>
      </c>
      <c r="B2221" s="5" t="str">
        <f>IF($G2221="","",INDEX('EDS Lookup'!$B$6:$B$2819,$G2221))</f>
        <v/>
      </c>
      <c r="C2221" s="17"/>
      <c r="D2221" s="6"/>
      <c r="E2221" s="7" t="str">
        <f>IF($G2221="","",INDEX('EDS Lookup'!$F$6:$F$2819,$G2221))</f>
        <v/>
      </c>
      <c r="F2221" s="8" t="str">
        <f>IF($G2221="","",INDEX('EDS Lookup'!$G$6:$G$2819,$G2221))</f>
        <v/>
      </c>
      <c r="G2221" t="str">
        <f>IF(2198&lt;=$B$4,IFERROR(MATCH(2198,'EDS Lookup'!$H$6:$H$2819,0),""),"")</f>
        <v/>
      </c>
      <c r="H2221" t="str">
        <f t="shared" si="34"/>
        <v/>
      </c>
    </row>
    <row r="2222" spans="1:8" ht="19.95" customHeight="1">
      <c r="A2222" s="5" t="str">
        <f>IF($G2222="","",INDEX('EDS Lookup'!$D$6:$D$2819,$G2222))</f>
        <v/>
      </c>
      <c r="B2222" s="5" t="str">
        <f>IF($G2222="","",INDEX('EDS Lookup'!$B$6:$B$2819,$G2222))</f>
        <v/>
      </c>
      <c r="C2222" s="17"/>
      <c r="D2222" s="6"/>
      <c r="E2222" s="7" t="str">
        <f>IF($G2222="","",INDEX('EDS Lookup'!$F$6:$F$2819,$G2222))</f>
        <v/>
      </c>
      <c r="F2222" s="8" t="str">
        <f>IF($G2222="","",INDEX('EDS Lookup'!$G$6:$G$2819,$G2222))</f>
        <v/>
      </c>
      <c r="G2222" t="str">
        <f>IF(2199&lt;=$B$4,IFERROR(MATCH(2199,'EDS Lookup'!$H$6:$H$2819,0),""),"")</f>
        <v/>
      </c>
      <c r="H2222" t="str">
        <f t="shared" si="34"/>
        <v/>
      </c>
    </row>
    <row r="2223" spans="1:8" ht="19.95" customHeight="1">
      <c r="A2223" s="5" t="str">
        <f>IF($G2223="","",INDEX('EDS Lookup'!$D$6:$D$2819,$G2223))</f>
        <v/>
      </c>
      <c r="B2223" s="5" t="str">
        <f>IF($G2223="","",INDEX('EDS Lookup'!$B$6:$B$2819,$G2223))</f>
        <v/>
      </c>
      <c r="C2223" s="17"/>
      <c r="D2223" s="6"/>
      <c r="E2223" s="7" t="str">
        <f>IF($G2223="","",INDEX('EDS Lookup'!$F$6:$F$2819,$G2223))</f>
        <v/>
      </c>
      <c r="F2223" s="8" t="str">
        <f>IF($G2223="","",INDEX('EDS Lookup'!$G$6:$G$2819,$G2223))</f>
        <v/>
      </c>
      <c r="G2223" t="str">
        <f>IF(2200&lt;=$B$4,IFERROR(MATCH(2200,'EDS Lookup'!$H$6:$H$2819,0),""),"")</f>
        <v/>
      </c>
      <c r="H2223" t="str">
        <f t="shared" si="34"/>
        <v/>
      </c>
    </row>
    <row r="2224" spans="1:8" ht="19.95" customHeight="1">
      <c r="A2224" s="5" t="str">
        <f>IF($G2224="","",INDEX('EDS Lookup'!$D$6:$D$2819,$G2224))</f>
        <v/>
      </c>
      <c r="B2224" s="5" t="str">
        <f>IF($G2224="","",INDEX('EDS Lookup'!$B$6:$B$2819,$G2224))</f>
        <v/>
      </c>
      <c r="C2224" s="17"/>
      <c r="D2224" s="6"/>
      <c r="E2224" s="7" t="str">
        <f>IF($G2224="","",INDEX('EDS Lookup'!$F$6:$F$2819,$G2224))</f>
        <v/>
      </c>
      <c r="F2224" s="8" t="str">
        <f>IF($G2224="","",INDEX('EDS Lookup'!$G$6:$G$2819,$G2224))</f>
        <v/>
      </c>
      <c r="G2224" t="str">
        <f>IF(2201&lt;=$B$4,IFERROR(MATCH(2201,'EDS Lookup'!$H$6:$H$2819,0),""),"")</f>
        <v/>
      </c>
      <c r="H2224" t="str">
        <f t="shared" si="34"/>
        <v/>
      </c>
    </row>
    <row r="2225" spans="1:8" ht="19.95" customHeight="1">
      <c r="A2225" s="5" t="str">
        <f>IF($G2225="","",INDEX('EDS Lookup'!$D$6:$D$2819,$G2225))</f>
        <v/>
      </c>
      <c r="B2225" s="5" t="str">
        <f>IF($G2225="","",INDEX('EDS Lookup'!$B$6:$B$2819,$G2225))</f>
        <v/>
      </c>
      <c r="C2225" s="17"/>
      <c r="D2225" s="6"/>
      <c r="E2225" s="7" t="str">
        <f>IF($G2225="","",INDEX('EDS Lookup'!$F$6:$F$2819,$G2225))</f>
        <v/>
      </c>
      <c r="F2225" s="8" t="str">
        <f>IF($G2225="","",INDEX('EDS Lookup'!$G$6:$G$2819,$G2225))</f>
        <v/>
      </c>
      <c r="G2225" t="str">
        <f>IF(2202&lt;=$B$4,IFERROR(MATCH(2202,'EDS Lookup'!$H$6:$H$2819,0),""),"")</f>
        <v/>
      </c>
      <c r="H2225" t="str">
        <f t="shared" si="34"/>
        <v/>
      </c>
    </row>
    <row r="2226" spans="1:8" ht="19.95" customHeight="1">
      <c r="A2226" s="5" t="str">
        <f>IF($G2226="","",INDEX('EDS Lookup'!$D$6:$D$2819,$G2226))</f>
        <v/>
      </c>
      <c r="B2226" s="5" t="str">
        <f>IF($G2226="","",INDEX('EDS Lookup'!$B$6:$B$2819,$G2226))</f>
        <v/>
      </c>
      <c r="C2226" s="17"/>
      <c r="D2226" s="6"/>
      <c r="E2226" s="7" t="str">
        <f>IF($G2226="","",INDEX('EDS Lookup'!$F$6:$F$2819,$G2226))</f>
        <v/>
      </c>
      <c r="F2226" s="8" t="str">
        <f>IF($G2226="","",INDEX('EDS Lookup'!$G$6:$G$2819,$G2226))</f>
        <v/>
      </c>
      <c r="G2226" t="str">
        <f>IF(2203&lt;=$B$4,IFERROR(MATCH(2203,'EDS Lookup'!$H$6:$H$2819,0),""),"")</f>
        <v/>
      </c>
      <c r="H2226" t="str">
        <f t="shared" si="34"/>
        <v/>
      </c>
    </row>
    <row r="2227" spans="1:8" ht="19.95" customHeight="1">
      <c r="A2227" s="5" t="str">
        <f>IF($G2227="","",INDEX('EDS Lookup'!$D$6:$D$2819,$G2227))</f>
        <v/>
      </c>
      <c r="B2227" s="5" t="str">
        <f>IF($G2227="","",INDEX('EDS Lookup'!$B$6:$B$2819,$G2227))</f>
        <v/>
      </c>
      <c r="C2227" s="17"/>
      <c r="D2227" s="6"/>
      <c r="E2227" s="7" t="str">
        <f>IF($G2227="","",INDEX('EDS Lookup'!$F$6:$F$2819,$G2227))</f>
        <v/>
      </c>
      <c r="F2227" s="8" t="str">
        <f>IF($G2227="","",INDEX('EDS Lookup'!$G$6:$G$2819,$G2227))</f>
        <v/>
      </c>
      <c r="G2227" t="str">
        <f>IF(2204&lt;=$B$4,IFERROR(MATCH(2204,'EDS Lookup'!$H$6:$H$2819,0),""),"")</f>
        <v/>
      </c>
      <c r="H2227" t="str">
        <f t="shared" si="34"/>
        <v/>
      </c>
    </row>
    <row r="2228" spans="1:8" ht="19.95" customHeight="1">
      <c r="A2228" s="5" t="str">
        <f>IF($G2228="","",INDEX('EDS Lookup'!$D$6:$D$2819,$G2228))</f>
        <v/>
      </c>
      <c r="B2228" s="5" t="str">
        <f>IF($G2228="","",INDEX('EDS Lookup'!$B$6:$B$2819,$G2228))</f>
        <v/>
      </c>
      <c r="C2228" s="17"/>
      <c r="D2228" s="6"/>
      <c r="E2228" s="7" t="str">
        <f>IF($G2228="","",INDEX('EDS Lookup'!$F$6:$F$2819,$G2228))</f>
        <v/>
      </c>
      <c r="F2228" s="8" t="str">
        <f>IF($G2228="","",INDEX('EDS Lookup'!$G$6:$G$2819,$G2228))</f>
        <v/>
      </c>
      <c r="G2228" t="str">
        <f>IF(2205&lt;=$B$4,IFERROR(MATCH(2205,'EDS Lookup'!$H$6:$H$2819,0),""),"")</f>
        <v/>
      </c>
      <c r="H2228" t="str">
        <f t="shared" si="34"/>
        <v/>
      </c>
    </row>
    <row r="2229" spans="1:8" ht="19.95" customHeight="1">
      <c r="A2229" s="5" t="str">
        <f>IF($G2229="","",INDEX('EDS Lookup'!$D$6:$D$2819,$G2229))</f>
        <v/>
      </c>
      <c r="B2229" s="5" t="str">
        <f>IF($G2229="","",INDEX('EDS Lookup'!$B$6:$B$2819,$G2229))</f>
        <v/>
      </c>
      <c r="C2229" s="17"/>
      <c r="D2229" s="6"/>
      <c r="E2229" s="7" t="str">
        <f>IF($G2229="","",INDEX('EDS Lookup'!$F$6:$F$2819,$G2229))</f>
        <v/>
      </c>
      <c r="F2229" s="8" t="str">
        <f>IF($G2229="","",INDEX('EDS Lookup'!$G$6:$G$2819,$G2229))</f>
        <v/>
      </c>
      <c r="G2229" t="str">
        <f>IF(2206&lt;=$B$4,IFERROR(MATCH(2206,'EDS Lookup'!$H$6:$H$2819,0),""),"")</f>
        <v/>
      </c>
      <c r="H2229" t="str">
        <f t="shared" si="34"/>
        <v/>
      </c>
    </row>
    <row r="2230" spans="1:8" ht="19.95" customHeight="1">
      <c r="A2230" s="5" t="str">
        <f>IF($G2230="","",INDEX('EDS Lookup'!$D$6:$D$2819,$G2230))</f>
        <v/>
      </c>
      <c r="B2230" s="5" t="str">
        <f>IF($G2230="","",INDEX('EDS Lookup'!$B$6:$B$2819,$G2230))</f>
        <v/>
      </c>
      <c r="C2230" s="17"/>
      <c r="D2230" s="6"/>
      <c r="E2230" s="7" t="str">
        <f>IF($G2230="","",INDEX('EDS Lookup'!$F$6:$F$2819,$G2230))</f>
        <v/>
      </c>
      <c r="F2230" s="8" t="str">
        <f>IF($G2230="","",INDEX('EDS Lookup'!$G$6:$G$2819,$G2230))</f>
        <v/>
      </c>
      <c r="G2230" t="str">
        <f>IF(2207&lt;=$B$4,IFERROR(MATCH(2207,'EDS Lookup'!$H$6:$H$2819,0),""),"")</f>
        <v/>
      </c>
      <c r="H2230" t="str">
        <f t="shared" si="34"/>
        <v/>
      </c>
    </row>
    <row r="2231" spans="1:8" ht="19.95" customHeight="1">
      <c r="A2231" s="5" t="str">
        <f>IF($G2231="","",INDEX('EDS Lookup'!$D$6:$D$2819,$G2231))</f>
        <v/>
      </c>
      <c r="B2231" s="5" t="str">
        <f>IF($G2231="","",INDEX('EDS Lookup'!$B$6:$B$2819,$G2231))</f>
        <v/>
      </c>
      <c r="C2231" s="17"/>
      <c r="D2231" s="6"/>
      <c r="E2231" s="7" t="str">
        <f>IF($G2231="","",INDEX('EDS Lookup'!$F$6:$F$2819,$G2231))</f>
        <v/>
      </c>
      <c r="F2231" s="8" t="str">
        <f>IF($G2231="","",INDEX('EDS Lookup'!$G$6:$G$2819,$G2231))</f>
        <v/>
      </c>
      <c r="G2231" t="str">
        <f>IF(2208&lt;=$B$4,IFERROR(MATCH(2208,'EDS Lookup'!$H$6:$H$2819,0),""),"")</f>
        <v/>
      </c>
      <c r="H2231" t="str">
        <f t="shared" si="34"/>
        <v/>
      </c>
    </row>
    <row r="2232" spans="1:8" ht="19.95" customHeight="1">
      <c r="A2232" s="5" t="str">
        <f>IF($G2232="","",INDEX('EDS Lookup'!$D$6:$D$2819,$G2232))</f>
        <v/>
      </c>
      <c r="B2232" s="5" t="str">
        <f>IF($G2232="","",INDEX('EDS Lookup'!$B$6:$B$2819,$G2232))</f>
        <v/>
      </c>
      <c r="C2232" s="17"/>
      <c r="D2232" s="6"/>
      <c r="E2232" s="7" t="str">
        <f>IF($G2232="","",INDEX('EDS Lookup'!$F$6:$F$2819,$G2232))</f>
        <v/>
      </c>
      <c r="F2232" s="8" t="str">
        <f>IF($G2232="","",INDEX('EDS Lookup'!$G$6:$G$2819,$G2232))</f>
        <v/>
      </c>
      <c r="G2232" t="str">
        <f>IF(2209&lt;=$B$4,IFERROR(MATCH(2209,'EDS Lookup'!$H$6:$H$2819,0),""),"")</f>
        <v/>
      </c>
      <c r="H2232" t="str">
        <f t="shared" si="34"/>
        <v/>
      </c>
    </row>
    <row r="2233" spans="1:8" ht="19.95" customHeight="1">
      <c r="A2233" s="5" t="str">
        <f>IF($G2233="","",INDEX('EDS Lookup'!$D$6:$D$2819,$G2233))</f>
        <v/>
      </c>
      <c r="B2233" s="5" t="str">
        <f>IF($G2233="","",INDEX('EDS Lookup'!$B$6:$B$2819,$G2233))</f>
        <v/>
      </c>
      <c r="C2233" s="17"/>
      <c r="D2233" s="6"/>
      <c r="E2233" s="7" t="str">
        <f>IF($G2233="","",INDEX('EDS Lookup'!$F$6:$F$2819,$G2233))</f>
        <v/>
      </c>
      <c r="F2233" s="8" t="str">
        <f>IF($G2233="","",INDEX('EDS Lookup'!$G$6:$G$2819,$G2233))</f>
        <v/>
      </c>
      <c r="G2233" t="str">
        <f>IF(2210&lt;=$B$4,IFERROR(MATCH(2210,'EDS Lookup'!$H$6:$H$2819,0),""),"")</f>
        <v/>
      </c>
      <c r="H2233" t="str">
        <f t="shared" si="34"/>
        <v/>
      </c>
    </row>
    <row r="2234" spans="1:8" ht="19.95" customHeight="1">
      <c r="A2234" s="5" t="str">
        <f>IF($G2234="","",INDEX('EDS Lookup'!$D$6:$D$2819,$G2234))</f>
        <v/>
      </c>
      <c r="B2234" s="5" t="str">
        <f>IF($G2234="","",INDEX('EDS Lookup'!$B$6:$B$2819,$G2234))</f>
        <v/>
      </c>
      <c r="C2234" s="17"/>
      <c r="D2234" s="6"/>
      <c r="E2234" s="7" t="str">
        <f>IF($G2234="","",INDEX('EDS Lookup'!$F$6:$F$2819,$G2234))</f>
        <v/>
      </c>
      <c r="F2234" s="8" t="str">
        <f>IF($G2234="","",INDEX('EDS Lookup'!$G$6:$G$2819,$G2234))</f>
        <v/>
      </c>
      <c r="G2234" t="str">
        <f>IF(2211&lt;=$B$4,IFERROR(MATCH(2211,'EDS Lookup'!$H$6:$H$2819,0),""),"")</f>
        <v/>
      </c>
      <c r="H2234" t="str">
        <f t="shared" si="34"/>
        <v/>
      </c>
    </row>
    <row r="2235" spans="1:8" ht="19.95" customHeight="1">
      <c r="A2235" s="5" t="str">
        <f>IF($G2235="","",INDEX('EDS Lookup'!$D$6:$D$2819,$G2235))</f>
        <v/>
      </c>
      <c r="B2235" s="5" t="str">
        <f>IF($G2235="","",INDEX('EDS Lookup'!$B$6:$B$2819,$G2235))</f>
        <v/>
      </c>
      <c r="C2235" s="17"/>
      <c r="D2235" s="6"/>
      <c r="E2235" s="7" t="str">
        <f>IF($G2235="","",INDEX('EDS Lookup'!$F$6:$F$2819,$G2235))</f>
        <v/>
      </c>
      <c r="F2235" s="8" t="str">
        <f>IF($G2235="","",INDEX('EDS Lookup'!$G$6:$G$2819,$G2235))</f>
        <v/>
      </c>
      <c r="G2235" t="str">
        <f>IF(2212&lt;=$B$4,IFERROR(MATCH(2212,'EDS Lookup'!$H$6:$H$2819,0),""),"")</f>
        <v/>
      </c>
      <c r="H2235" t="str">
        <f t="shared" si="34"/>
        <v/>
      </c>
    </row>
    <row r="2236" spans="1:8" ht="19.95" customHeight="1">
      <c r="A2236" s="5" t="str">
        <f>IF($G2236="","",INDEX('EDS Lookup'!$D$6:$D$2819,$G2236))</f>
        <v/>
      </c>
      <c r="B2236" s="5" t="str">
        <f>IF($G2236="","",INDEX('EDS Lookup'!$B$6:$B$2819,$G2236))</f>
        <v/>
      </c>
      <c r="C2236" s="17"/>
      <c r="D2236" s="6"/>
      <c r="E2236" s="7" t="str">
        <f>IF($G2236="","",INDEX('EDS Lookup'!$F$6:$F$2819,$G2236))</f>
        <v/>
      </c>
      <c r="F2236" s="8" t="str">
        <f>IF($G2236="","",INDEX('EDS Lookup'!$G$6:$G$2819,$G2236))</f>
        <v/>
      </c>
      <c r="G2236" t="str">
        <f>IF(2213&lt;=$B$4,IFERROR(MATCH(2213,'EDS Lookup'!$H$6:$H$2819,0),""),"")</f>
        <v/>
      </c>
      <c r="H2236" t="str">
        <f t="shared" si="34"/>
        <v/>
      </c>
    </row>
    <row r="2237" spans="1:8" ht="19.95" customHeight="1">
      <c r="A2237" s="5" t="str">
        <f>IF($G2237="","",INDEX('EDS Lookup'!$D$6:$D$2819,$G2237))</f>
        <v/>
      </c>
      <c r="B2237" s="5" t="str">
        <f>IF($G2237="","",INDEX('EDS Lookup'!$B$6:$B$2819,$G2237))</f>
        <v/>
      </c>
      <c r="C2237" s="17"/>
      <c r="D2237" s="6"/>
      <c r="E2237" s="7" t="str">
        <f>IF($G2237="","",INDEX('EDS Lookup'!$F$6:$F$2819,$G2237))</f>
        <v/>
      </c>
      <c r="F2237" s="8" t="str">
        <f>IF($G2237="","",INDEX('EDS Lookup'!$G$6:$G$2819,$G2237))</f>
        <v/>
      </c>
      <c r="G2237" t="str">
        <f>IF(2214&lt;=$B$4,IFERROR(MATCH(2214,'EDS Lookup'!$H$6:$H$2819,0),""),"")</f>
        <v/>
      </c>
      <c r="H2237" t="str">
        <f t="shared" si="34"/>
        <v/>
      </c>
    </row>
    <row r="2238" spans="1:8" ht="19.95" customHeight="1">
      <c r="A2238" s="5" t="str">
        <f>IF($G2238="","",INDEX('EDS Lookup'!$D$6:$D$2819,$G2238))</f>
        <v/>
      </c>
      <c r="B2238" s="5" t="str">
        <f>IF($G2238="","",INDEX('EDS Lookup'!$B$6:$B$2819,$G2238))</f>
        <v/>
      </c>
      <c r="C2238" s="17"/>
      <c r="D2238" s="6"/>
      <c r="E2238" s="7" t="str">
        <f>IF($G2238="","",INDEX('EDS Lookup'!$F$6:$F$2819,$G2238))</f>
        <v/>
      </c>
      <c r="F2238" s="8" t="str">
        <f>IF($G2238="","",INDEX('EDS Lookup'!$G$6:$G$2819,$G2238))</f>
        <v/>
      </c>
      <c r="G2238" t="str">
        <f>IF(2215&lt;=$B$4,IFERROR(MATCH(2215,'EDS Lookup'!$H$6:$H$2819,0),""),"")</f>
        <v/>
      </c>
      <c r="H2238" t="str">
        <f t="shared" si="34"/>
        <v/>
      </c>
    </row>
    <row r="2239" spans="1:8" ht="19.95" customHeight="1">
      <c r="A2239" s="5" t="str">
        <f>IF($G2239="","",INDEX('EDS Lookup'!$D$6:$D$2819,$G2239))</f>
        <v/>
      </c>
      <c r="B2239" s="5" t="str">
        <f>IF($G2239="","",INDEX('EDS Lookup'!$B$6:$B$2819,$G2239))</f>
        <v/>
      </c>
      <c r="C2239" s="17"/>
      <c r="D2239" s="6"/>
      <c r="E2239" s="7" t="str">
        <f>IF($G2239="","",INDEX('EDS Lookup'!$F$6:$F$2819,$G2239))</f>
        <v/>
      </c>
      <c r="F2239" s="8" t="str">
        <f>IF($G2239="","",INDEX('EDS Lookup'!$G$6:$G$2819,$G2239))</f>
        <v/>
      </c>
      <c r="G2239" t="str">
        <f>IF(2216&lt;=$B$4,IFERROR(MATCH(2216,'EDS Lookup'!$H$6:$H$2819,0),""),"")</f>
        <v/>
      </c>
      <c r="H2239" t="str">
        <f t="shared" si="34"/>
        <v/>
      </c>
    </row>
    <row r="2240" spans="1:8" ht="19.95" customHeight="1">
      <c r="A2240" s="5" t="str">
        <f>IF($G2240="","",INDEX('EDS Lookup'!$D$6:$D$2819,$G2240))</f>
        <v/>
      </c>
      <c r="B2240" s="5" t="str">
        <f>IF($G2240="","",INDEX('EDS Lookup'!$B$6:$B$2819,$G2240))</f>
        <v/>
      </c>
      <c r="C2240" s="17"/>
      <c r="D2240" s="6"/>
      <c r="E2240" s="7" t="str">
        <f>IF($G2240="","",INDEX('EDS Lookup'!$F$6:$F$2819,$G2240))</f>
        <v/>
      </c>
      <c r="F2240" s="8" t="str">
        <f>IF($G2240="","",INDEX('EDS Lookup'!$G$6:$G$2819,$G2240))</f>
        <v/>
      </c>
      <c r="G2240" t="str">
        <f>IF(2217&lt;=$B$4,IFERROR(MATCH(2217,'EDS Lookup'!$H$6:$H$2819,0),""),"")</f>
        <v/>
      </c>
      <c r="H2240" t="str">
        <f t="shared" si="34"/>
        <v/>
      </c>
    </row>
    <row r="2241" spans="1:8" ht="19.95" customHeight="1">
      <c r="A2241" s="5" t="str">
        <f>IF($G2241="","",INDEX('EDS Lookup'!$D$6:$D$2819,$G2241))</f>
        <v/>
      </c>
      <c r="B2241" s="5" t="str">
        <f>IF($G2241="","",INDEX('EDS Lookup'!$B$6:$B$2819,$G2241))</f>
        <v/>
      </c>
      <c r="C2241" s="17"/>
      <c r="D2241" s="6"/>
      <c r="E2241" s="7" t="str">
        <f>IF($G2241="","",INDEX('EDS Lookup'!$F$6:$F$2819,$G2241))</f>
        <v/>
      </c>
      <c r="F2241" s="8" t="str">
        <f>IF($G2241="","",INDEX('EDS Lookup'!$G$6:$G$2819,$G2241))</f>
        <v/>
      </c>
      <c r="G2241" t="str">
        <f>IF(2218&lt;=$B$4,IFERROR(MATCH(2218,'EDS Lookup'!$H$6:$H$2819,0),""),"")</f>
        <v/>
      </c>
      <c r="H2241" t="str">
        <f t="shared" si="34"/>
        <v/>
      </c>
    </row>
    <row r="2242" spans="1:8" ht="19.95" customHeight="1">
      <c r="A2242" s="5" t="str">
        <f>IF($G2242="","",INDEX('EDS Lookup'!$D$6:$D$2819,$G2242))</f>
        <v/>
      </c>
      <c r="B2242" s="5" t="str">
        <f>IF($G2242="","",INDEX('EDS Lookup'!$B$6:$B$2819,$G2242))</f>
        <v/>
      </c>
      <c r="C2242" s="17"/>
      <c r="D2242" s="6"/>
      <c r="E2242" s="7" t="str">
        <f>IF($G2242="","",INDEX('EDS Lookup'!$F$6:$F$2819,$G2242))</f>
        <v/>
      </c>
      <c r="F2242" s="8" t="str">
        <f>IF($G2242="","",INDEX('EDS Lookup'!$G$6:$G$2819,$G2242))</f>
        <v/>
      </c>
      <c r="G2242" t="str">
        <f>IF(2219&lt;=$B$4,IFERROR(MATCH(2219,'EDS Lookup'!$H$6:$H$2819,0),""),"")</f>
        <v/>
      </c>
      <c r="H2242" t="str">
        <f t="shared" si="34"/>
        <v/>
      </c>
    </row>
    <row r="2243" spans="1:8" ht="19.95" customHeight="1">
      <c r="A2243" s="5" t="str">
        <f>IF($G2243="","",INDEX('EDS Lookup'!$D$6:$D$2819,$G2243))</f>
        <v/>
      </c>
      <c r="B2243" s="5" t="str">
        <f>IF($G2243="","",INDEX('EDS Lookup'!$B$6:$B$2819,$G2243))</f>
        <v/>
      </c>
      <c r="C2243" s="17"/>
      <c r="D2243" s="6"/>
      <c r="E2243" s="7" t="str">
        <f>IF($G2243="","",INDEX('EDS Lookup'!$F$6:$F$2819,$G2243))</f>
        <v/>
      </c>
      <c r="F2243" s="8" t="str">
        <f>IF($G2243="","",INDEX('EDS Lookup'!$G$6:$G$2819,$G2243))</f>
        <v/>
      </c>
      <c r="G2243" t="str">
        <f>IF(2220&lt;=$B$4,IFERROR(MATCH(2220,'EDS Lookup'!$H$6:$H$2819,0),""),"")</f>
        <v/>
      </c>
      <c r="H2243" t="str">
        <f t="shared" si="34"/>
        <v/>
      </c>
    </row>
    <row r="2244" spans="1:8" ht="19.95" customHeight="1">
      <c r="A2244" s="5" t="str">
        <f>IF($G2244="","",INDEX('EDS Lookup'!$D$6:$D$2819,$G2244))</f>
        <v/>
      </c>
      <c r="B2244" s="5" t="str">
        <f>IF($G2244="","",INDEX('EDS Lookup'!$B$6:$B$2819,$G2244))</f>
        <v/>
      </c>
      <c r="C2244" s="17"/>
      <c r="D2244" s="6"/>
      <c r="E2244" s="7" t="str">
        <f>IF($G2244="","",INDEX('EDS Lookup'!$F$6:$F$2819,$G2244))</f>
        <v/>
      </c>
      <c r="F2244" s="8" t="str">
        <f>IF($G2244="","",INDEX('EDS Lookup'!$G$6:$G$2819,$G2244))</f>
        <v/>
      </c>
      <c r="G2244" t="str">
        <f>IF(2221&lt;=$B$4,IFERROR(MATCH(2221,'EDS Lookup'!$H$6:$H$2819,0),""),"")</f>
        <v/>
      </c>
      <c r="H2244" t="str">
        <f t="shared" si="34"/>
        <v/>
      </c>
    </row>
    <row r="2245" spans="1:8" ht="19.95" customHeight="1">
      <c r="A2245" s="5" t="str">
        <f>IF($G2245="","",INDEX('EDS Lookup'!$D$6:$D$2819,$G2245))</f>
        <v/>
      </c>
      <c r="B2245" s="5" t="str">
        <f>IF($G2245="","",INDEX('EDS Lookup'!$B$6:$B$2819,$G2245))</f>
        <v/>
      </c>
      <c r="C2245" s="17"/>
      <c r="D2245" s="6"/>
      <c r="E2245" s="7" t="str">
        <f>IF($G2245="","",INDEX('EDS Lookup'!$F$6:$F$2819,$G2245))</f>
        <v/>
      </c>
      <c r="F2245" s="8" t="str">
        <f>IF($G2245="","",INDEX('EDS Lookup'!$G$6:$G$2819,$G2245))</f>
        <v/>
      </c>
      <c r="G2245" t="str">
        <f>IF(2222&lt;=$B$4,IFERROR(MATCH(2222,'EDS Lookup'!$H$6:$H$2819,0),""),"")</f>
        <v/>
      </c>
      <c r="H2245" t="str">
        <f t="shared" si="34"/>
        <v/>
      </c>
    </row>
    <row r="2246" spans="1:8" ht="19.95" customHeight="1">
      <c r="A2246" s="5" t="str">
        <f>IF($G2246="","",INDEX('EDS Lookup'!$D$6:$D$2819,$G2246))</f>
        <v/>
      </c>
      <c r="B2246" s="5" t="str">
        <f>IF($G2246="","",INDEX('EDS Lookup'!$B$6:$B$2819,$G2246))</f>
        <v/>
      </c>
      <c r="C2246" s="17"/>
      <c r="D2246" s="6"/>
      <c r="E2246" s="7" t="str">
        <f>IF($G2246="","",INDEX('EDS Lookup'!$F$6:$F$2819,$G2246))</f>
        <v/>
      </c>
      <c r="F2246" s="8" t="str">
        <f>IF($G2246="","",INDEX('EDS Lookup'!$G$6:$G$2819,$G2246))</f>
        <v/>
      </c>
      <c r="G2246" t="str">
        <f>IF(2223&lt;=$B$4,IFERROR(MATCH(2223,'EDS Lookup'!$H$6:$H$2819,0),""),"")</f>
        <v/>
      </c>
      <c r="H2246" t="str">
        <f t="shared" si="34"/>
        <v/>
      </c>
    </row>
    <row r="2247" spans="1:8" ht="19.95" customHeight="1">
      <c r="A2247" s="5" t="str">
        <f>IF($G2247="","",INDEX('EDS Lookup'!$D$6:$D$2819,$G2247))</f>
        <v/>
      </c>
      <c r="B2247" s="5" t="str">
        <f>IF($G2247="","",INDEX('EDS Lookup'!$B$6:$B$2819,$G2247))</f>
        <v/>
      </c>
      <c r="C2247" s="17"/>
      <c r="D2247" s="6"/>
      <c r="E2247" s="7" t="str">
        <f>IF($G2247="","",INDEX('EDS Lookup'!$F$6:$F$2819,$G2247))</f>
        <v/>
      </c>
      <c r="F2247" s="8" t="str">
        <f>IF($G2247="","",INDEX('EDS Lookup'!$G$6:$G$2819,$G2247))</f>
        <v/>
      </c>
      <c r="G2247" t="str">
        <f>IF(2224&lt;=$B$4,IFERROR(MATCH(2224,'EDS Lookup'!$H$6:$H$2819,0),""),"")</f>
        <v/>
      </c>
      <c r="H2247" t="str">
        <f t="shared" si="34"/>
        <v/>
      </c>
    </row>
    <row r="2248" spans="1:8" ht="19.95" customHeight="1">
      <c r="A2248" s="5" t="str">
        <f>IF($G2248="","",INDEX('EDS Lookup'!$D$6:$D$2819,$G2248))</f>
        <v/>
      </c>
      <c r="B2248" s="5" t="str">
        <f>IF($G2248="","",INDEX('EDS Lookup'!$B$6:$B$2819,$G2248))</f>
        <v/>
      </c>
      <c r="C2248" s="17"/>
      <c r="D2248" s="6"/>
      <c r="E2248" s="7" t="str">
        <f>IF($G2248="","",INDEX('EDS Lookup'!$F$6:$F$2819,$G2248))</f>
        <v/>
      </c>
      <c r="F2248" s="8" t="str">
        <f>IF($G2248="","",INDEX('EDS Lookup'!$G$6:$G$2819,$G2248))</f>
        <v/>
      </c>
      <c r="G2248" t="str">
        <f>IF(2225&lt;=$B$4,IFERROR(MATCH(2225,'EDS Lookup'!$H$6:$H$2819,0),""),"")</f>
        <v/>
      </c>
      <c r="H2248" t="str">
        <f t="shared" si="34"/>
        <v/>
      </c>
    </row>
    <row r="2249" spans="1:8" ht="19.95" customHeight="1">
      <c r="A2249" s="5" t="str">
        <f>IF($G2249="","",INDEX('EDS Lookup'!$D$6:$D$2819,$G2249))</f>
        <v/>
      </c>
      <c r="B2249" s="5" t="str">
        <f>IF($G2249="","",INDEX('EDS Lookup'!$B$6:$B$2819,$G2249))</f>
        <v/>
      </c>
      <c r="C2249" s="17"/>
      <c r="D2249" s="6"/>
      <c r="E2249" s="7" t="str">
        <f>IF($G2249="","",INDEX('EDS Lookup'!$F$6:$F$2819,$G2249))</f>
        <v/>
      </c>
      <c r="F2249" s="8" t="str">
        <f>IF($G2249="","",INDEX('EDS Lookup'!$G$6:$G$2819,$G2249))</f>
        <v/>
      </c>
      <c r="G2249" t="str">
        <f>IF(2226&lt;=$B$4,IFERROR(MATCH(2226,'EDS Lookup'!$H$6:$H$2819,0),""),"")</f>
        <v/>
      </c>
      <c r="H2249" t="str">
        <f t="shared" si="34"/>
        <v/>
      </c>
    </row>
    <row r="2250" spans="1:8" ht="19.95" customHeight="1">
      <c r="A2250" s="5" t="str">
        <f>IF($G2250="","",INDEX('EDS Lookup'!$D$6:$D$2819,$G2250))</f>
        <v/>
      </c>
      <c r="B2250" s="5" t="str">
        <f>IF($G2250="","",INDEX('EDS Lookup'!$B$6:$B$2819,$G2250))</f>
        <v/>
      </c>
      <c r="C2250" s="17"/>
      <c r="D2250" s="6"/>
      <c r="E2250" s="7" t="str">
        <f>IF($G2250="","",INDEX('EDS Lookup'!$F$6:$F$2819,$G2250))</f>
        <v/>
      </c>
      <c r="F2250" s="8" t="str">
        <f>IF($G2250="","",INDEX('EDS Lookup'!$G$6:$G$2819,$G2250))</f>
        <v/>
      </c>
      <c r="G2250" t="str">
        <f>IF(2227&lt;=$B$4,IFERROR(MATCH(2227,'EDS Lookup'!$H$6:$H$2819,0),""),"")</f>
        <v/>
      </c>
      <c r="H2250" t="str">
        <f t="shared" si="34"/>
        <v/>
      </c>
    </row>
    <row r="2251" spans="1:8" ht="19.95" customHeight="1">
      <c r="A2251" s="5" t="str">
        <f>IF($G2251="","",INDEX('EDS Lookup'!$D$6:$D$2819,$G2251))</f>
        <v/>
      </c>
      <c r="B2251" s="5" t="str">
        <f>IF($G2251="","",INDEX('EDS Lookup'!$B$6:$B$2819,$G2251))</f>
        <v/>
      </c>
      <c r="C2251" s="17"/>
      <c r="D2251" s="6"/>
      <c r="E2251" s="7" t="str">
        <f>IF($G2251="","",INDEX('EDS Lookup'!$F$6:$F$2819,$G2251))</f>
        <v/>
      </c>
      <c r="F2251" s="8" t="str">
        <f>IF($G2251="","",INDEX('EDS Lookup'!$G$6:$G$2819,$G2251))</f>
        <v/>
      </c>
      <c r="G2251" t="str">
        <f>IF(2228&lt;=$B$4,IFERROR(MATCH(2228,'EDS Lookup'!$H$6:$H$2819,0),""),"")</f>
        <v/>
      </c>
      <c r="H2251" t="str">
        <f t="shared" si="34"/>
        <v/>
      </c>
    </row>
    <row r="2252" spans="1:8" ht="19.95" customHeight="1">
      <c r="A2252" s="5" t="str">
        <f>IF($G2252="","",INDEX('EDS Lookup'!$D$6:$D$2819,$G2252))</f>
        <v/>
      </c>
      <c r="B2252" s="5" t="str">
        <f>IF($G2252="","",INDEX('EDS Lookup'!$B$6:$B$2819,$G2252))</f>
        <v/>
      </c>
      <c r="C2252" s="17"/>
      <c r="D2252" s="6"/>
      <c r="E2252" s="7" t="str">
        <f>IF($G2252="","",INDEX('EDS Lookup'!$F$6:$F$2819,$G2252))</f>
        <v/>
      </c>
      <c r="F2252" s="8" t="str">
        <f>IF($G2252="","",INDEX('EDS Lookup'!$G$6:$G$2819,$G2252))</f>
        <v/>
      </c>
      <c r="G2252" t="str">
        <f>IF(2229&lt;=$B$4,IFERROR(MATCH(2229,'EDS Lookup'!$H$6:$H$2819,0),""),"")</f>
        <v/>
      </c>
      <c r="H2252" t="str">
        <f t="shared" si="34"/>
        <v/>
      </c>
    </row>
    <row r="2253" spans="1:8" ht="19.95" customHeight="1">
      <c r="A2253" s="5" t="str">
        <f>IF($G2253="","",INDEX('EDS Lookup'!$D$6:$D$2819,$G2253))</f>
        <v/>
      </c>
      <c r="B2253" s="5" t="str">
        <f>IF($G2253="","",INDEX('EDS Lookup'!$B$6:$B$2819,$G2253))</f>
        <v/>
      </c>
      <c r="C2253" s="17"/>
      <c r="D2253" s="6"/>
      <c r="E2253" s="7" t="str">
        <f>IF($G2253="","",INDEX('EDS Lookup'!$F$6:$F$2819,$G2253))</f>
        <v/>
      </c>
      <c r="F2253" s="8" t="str">
        <f>IF($G2253="","",INDEX('EDS Lookup'!$G$6:$G$2819,$G2253))</f>
        <v/>
      </c>
      <c r="G2253" t="str">
        <f>IF(2230&lt;=$B$4,IFERROR(MATCH(2230,'EDS Lookup'!$H$6:$H$2819,0),""),"")</f>
        <v/>
      </c>
      <c r="H2253" t="str">
        <f t="shared" si="34"/>
        <v/>
      </c>
    </row>
    <row r="2254" spans="1:8" ht="19.95" customHeight="1">
      <c r="A2254" s="5" t="str">
        <f>IF($G2254="","",INDEX('EDS Lookup'!$D$6:$D$2819,$G2254))</f>
        <v/>
      </c>
      <c r="B2254" s="5" t="str">
        <f>IF($G2254="","",INDEX('EDS Lookup'!$B$6:$B$2819,$G2254))</f>
        <v/>
      </c>
      <c r="C2254" s="17"/>
      <c r="D2254" s="6"/>
      <c r="E2254" s="7" t="str">
        <f>IF($G2254="","",INDEX('EDS Lookup'!$F$6:$F$2819,$G2254))</f>
        <v/>
      </c>
      <c r="F2254" s="8" t="str">
        <f>IF($G2254="","",INDEX('EDS Lookup'!$G$6:$G$2819,$G2254))</f>
        <v/>
      </c>
      <c r="G2254" t="str">
        <f>IF(2231&lt;=$B$4,IFERROR(MATCH(2231,'EDS Lookup'!$H$6:$H$2819,0),""),"")</f>
        <v/>
      </c>
      <c r="H2254" t="str">
        <f t="shared" si="34"/>
        <v/>
      </c>
    </row>
    <row r="2255" spans="1:8" ht="19.95" customHeight="1">
      <c r="A2255" s="5" t="str">
        <f>IF($G2255="","",INDEX('EDS Lookup'!$D$6:$D$2819,$G2255))</f>
        <v/>
      </c>
      <c r="B2255" s="5" t="str">
        <f>IF($G2255="","",INDEX('EDS Lookup'!$B$6:$B$2819,$G2255))</f>
        <v/>
      </c>
      <c r="C2255" s="17"/>
      <c r="D2255" s="6"/>
      <c r="E2255" s="7" t="str">
        <f>IF($G2255="","",INDEX('EDS Lookup'!$F$6:$F$2819,$G2255))</f>
        <v/>
      </c>
      <c r="F2255" s="8" t="str">
        <f>IF($G2255="","",INDEX('EDS Lookup'!$G$6:$G$2819,$G2255))</f>
        <v/>
      </c>
      <c r="G2255" t="str">
        <f>IF(2232&lt;=$B$4,IFERROR(MATCH(2232,'EDS Lookup'!$H$6:$H$2819,0),""),"")</f>
        <v/>
      </c>
      <c r="H2255" t="str">
        <f t="shared" si="34"/>
        <v/>
      </c>
    </row>
    <row r="2256" spans="1:8" ht="19.95" customHeight="1">
      <c r="A2256" s="5" t="str">
        <f>IF($G2256="","",INDEX('EDS Lookup'!$D$6:$D$2819,$G2256))</f>
        <v/>
      </c>
      <c r="B2256" s="5" t="str">
        <f>IF($G2256="","",INDEX('EDS Lookup'!$B$6:$B$2819,$G2256))</f>
        <v/>
      </c>
      <c r="C2256" s="17"/>
      <c r="D2256" s="6"/>
      <c r="E2256" s="7" t="str">
        <f>IF($G2256="","",INDEX('EDS Lookup'!$F$6:$F$2819,$G2256))</f>
        <v/>
      </c>
      <c r="F2256" s="8" t="str">
        <f>IF($G2256="","",INDEX('EDS Lookup'!$G$6:$G$2819,$G2256))</f>
        <v/>
      </c>
      <c r="G2256" t="str">
        <f>IF(2233&lt;=$B$4,IFERROR(MATCH(2233,'EDS Lookup'!$H$6:$H$2819,0),""),"")</f>
        <v/>
      </c>
      <c r="H2256" t="str">
        <f t="shared" si="34"/>
        <v/>
      </c>
    </row>
    <row r="2257" spans="1:8" ht="19.95" customHeight="1">
      <c r="A2257" s="5" t="str">
        <f>IF($G2257="","",INDEX('EDS Lookup'!$D$6:$D$2819,$G2257))</f>
        <v/>
      </c>
      <c r="B2257" s="5" t="str">
        <f>IF($G2257="","",INDEX('EDS Lookup'!$B$6:$B$2819,$G2257))</f>
        <v/>
      </c>
      <c r="C2257" s="17"/>
      <c r="D2257" s="6"/>
      <c r="E2257" s="7" t="str">
        <f>IF($G2257="","",INDEX('EDS Lookup'!$F$6:$F$2819,$G2257))</f>
        <v/>
      </c>
      <c r="F2257" s="8" t="str">
        <f>IF($G2257="","",INDEX('EDS Lookup'!$G$6:$G$2819,$G2257))</f>
        <v/>
      </c>
      <c r="G2257" t="str">
        <f>IF(2234&lt;=$B$4,IFERROR(MATCH(2234,'EDS Lookup'!$H$6:$H$2819,0),""),"")</f>
        <v/>
      </c>
      <c r="H2257" t="str">
        <f t="shared" si="34"/>
        <v/>
      </c>
    </row>
    <row r="2258" spans="1:8" ht="19.95" customHeight="1">
      <c r="A2258" s="5" t="str">
        <f>IF($G2258="","",INDEX('EDS Lookup'!$D$6:$D$2819,$G2258))</f>
        <v/>
      </c>
      <c r="B2258" s="5" t="str">
        <f>IF($G2258="","",INDEX('EDS Lookup'!$B$6:$B$2819,$G2258))</f>
        <v/>
      </c>
      <c r="C2258" s="17"/>
      <c r="D2258" s="6"/>
      <c r="E2258" s="7" t="str">
        <f>IF($G2258="","",INDEX('EDS Lookup'!$F$6:$F$2819,$G2258))</f>
        <v/>
      </c>
      <c r="F2258" s="8" t="str">
        <f>IF($G2258="","",INDEX('EDS Lookup'!$G$6:$G$2819,$G2258))</f>
        <v/>
      </c>
      <c r="G2258" t="str">
        <f>IF(2235&lt;=$B$4,IFERROR(MATCH(2235,'EDS Lookup'!$H$6:$H$2819,0),""),"")</f>
        <v/>
      </c>
      <c r="H2258" t="str">
        <f t="shared" si="34"/>
        <v/>
      </c>
    </row>
    <row r="2259" spans="1:8" ht="19.95" customHeight="1">
      <c r="A2259" s="5" t="str">
        <f>IF($G2259="","",INDEX('EDS Lookup'!$D$6:$D$2819,$G2259))</f>
        <v/>
      </c>
      <c r="B2259" s="5" t="str">
        <f>IF($G2259="","",INDEX('EDS Lookup'!$B$6:$B$2819,$G2259))</f>
        <v/>
      </c>
      <c r="C2259" s="17"/>
      <c r="D2259" s="6"/>
      <c r="E2259" s="7" t="str">
        <f>IF($G2259="","",INDEX('EDS Lookup'!$F$6:$F$2819,$G2259))</f>
        <v/>
      </c>
      <c r="F2259" s="8" t="str">
        <f>IF($G2259="","",INDEX('EDS Lookup'!$G$6:$G$2819,$G2259))</f>
        <v/>
      </c>
      <c r="G2259" t="str">
        <f>IF(2236&lt;=$B$4,IFERROR(MATCH(2236,'EDS Lookup'!$H$6:$H$2819,0),""),"")</f>
        <v/>
      </c>
      <c r="H2259" t="str">
        <f t="shared" si="34"/>
        <v/>
      </c>
    </row>
    <row r="2260" spans="1:8" ht="19.95" customHeight="1">
      <c r="A2260" s="5" t="str">
        <f>IF($G2260="","",INDEX('EDS Lookup'!$D$6:$D$2819,$G2260))</f>
        <v/>
      </c>
      <c r="B2260" s="5" t="str">
        <f>IF($G2260="","",INDEX('EDS Lookup'!$B$6:$B$2819,$G2260))</f>
        <v/>
      </c>
      <c r="C2260" s="17"/>
      <c r="D2260" s="6"/>
      <c r="E2260" s="7" t="str">
        <f>IF($G2260="","",INDEX('EDS Lookup'!$F$6:$F$2819,$G2260))</f>
        <v/>
      </c>
      <c r="F2260" s="8" t="str">
        <f>IF($G2260="","",INDEX('EDS Lookup'!$G$6:$G$2819,$G2260))</f>
        <v/>
      </c>
      <c r="G2260" t="str">
        <f>IF(2237&lt;=$B$4,IFERROR(MATCH(2237,'EDS Lookup'!$H$6:$H$2819,0),""),"")</f>
        <v/>
      </c>
      <c r="H2260" t="str">
        <f t="shared" si="34"/>
        <v/>
      </c>
    </row>
    <row r="2261" spans="1:8" ht="19.95" customHeight="1">
      <c r="A2261" s="5" t="str">
        <f>IF($G2261="","",INDEX('EDS Lookup'!$D$6:$D$2819,$G2261))</f>
        <v/>
      </c>
      <c r="B2261" s="5" t="str">
        <f>IF($G2261="","",INDEX('EDS Lookup'!$B$6:$B$2819,$G2261))</f>
        <v/>
      </c>
      <c r="C2261" s="17"/>
      <c r="D2261" s="6"/>
      <c r="E2261" s="7" t="str">
        <f>IF($G2261="","",INDEX('EDS Lookup'!$F$6:$F$2819,$G2261))</f>
        <v/>
      </c>
      <c r="F2261" s="8" t="str">
        <f>IF($G2261="","",INDEX('EDS Lookup'!$G$6:$G$2819,$G2261))</f>
        <v/>
      </c>
      <c r="G2261" t="str">
        <f>IF(2238&lt;=$B$4,IFERROR(MATCH(2238,'EDS Lookup'!$H$6:$H$2819,0),""),"")</f>
        <v/>
      </c>
      <c r="H2261" t="str">
        <f t="shared" si="34"/>
        <v/>
      </c>
    </row>
    <row r="2262" spans="1:8" ht="19.95" customHeight="1">
      <c r="A2262" s="5" t="str">
        <f>IF($G2262="","",INDEX('EDS Lookup'!$D$6:$D$2819,$G2262))</f>
        <v/>
      </c>
      <c r="B2262" s="5" t="str">
        <f>IF($G2262="","",INDEX('EDS Lookup'!$B$6:$B$2819,$G2262))</f>
        <v/>
      </c>
      <c r="C2262" s="17"/>
      <c r="D2262" s="6"/>
      <c r="E2262" s="7" t="str">
        <f>IF($G2262="","",INDEX('EDS Lookup'!$F$6:$F$2819,$G2262))</f>
        <v/>
      </c>
      <c r="F2262" s="8" t="str">
        <f>IF($G2262="","",INDEX('EDS Lookup'!$G$6:$G$2819,$G2262))</f>
        <v/>
      </c>
      <c r="G2262" t="str">
        <f>IF(2239&lt;=$B$4,IFERROR(MATCH(2239,'EDS Lookup'!$H$6:$H$2819,0),""),"")</f>
        <v/>
      </c>
      <c r="H2262" t="str">
        <f t="shared" si="34"/>
        <v/>
      </c>
    </row>
    <row r="2263" spans="1:8" ht="19.95" customHeight="1">
      <c r="A2263" s="5" t="str">
        <f>IF($G2263="","",INDEX('EDS Lookup'!$D$6:$D$2819,$G2263))</f>
        <v/>
      </c>
      <c r="B2263" s="5" t="str">
        <f>IF($G2263="","",INDEX('EDS Lookup'!$B$6:$B$2819,$G2263))</f>
        <v/>
      </c>
      <c r="C2263" s="17"/>
      <c r="D2263" s="6"/>
      <c r="E2263" s="7" t="str">
        <f>IF($G2263="","",INDEX('EDS Lookup'!$F$6:$F$2819,$G2263))</f>
        <v/>
      </c>
      <c r="F2263" s="8" t="str">
        <f>IF($G2263="","",INDEX('EDS Lookup'!$G$6:$G$2819,$G2263))</f>
        <v/>
      </c>
      <c r="G2263" t="str">
        <f>IF(2240&lt;=$B$4,IFERROR(MATCH(2240,'EDS Lookup'!$H$6:$H$2819,0),""),"")</f>
        <v/>
      </c>
      <c r="H2263" t="str">
        <f t="shared" si="34"/>
        <v/>
      </c>
    </row>
    <row r="2264" spans="1:8" ht="19.95" customHeight="1">
      <c r="A2264" s="5" t="str">
        <f>IF($G2264="","",INDEX('EDS Lookup'!$D$6:$D$2819,$G2264))</f>
        <v/>
      </c>
      <c r="B2264" s="5" t="str">
        <f>IF($G2264="","",INDEX('EDS Lookup'!$B$6:$B$2819,$G2264))</f>
        <v/>
      </c>
      <c r="C2264" s="17"/>
      <c r="D2264" s="6"/>
      <c r="E2264" s="7" t="str">
        <f>IF($G2264="","",INDEX('EDS Lookup'!$F$6:$F$2819,$G2264))</f>
        <v/>
      </c>
      <c r="F2264" s="8" t="str">
        <f>IF($G2264="","",INDEX('EDS Lookup'!$G$6:$G$2819,$G2264))</f>
        <v/>
      </c>
      <c r="G2264" t="str">
        <f>IF(2241&lt;=$B$4,IFERROR(MATCH(2241,'EDS Lookup'!$H$6:$H$2819,0),""),"")</f>
        <v/>
      </c>
      <c r="H2264" t="str">
        <f t="shared" ref="H2264:H2327" si="35">IF(F2264="&lt;5",5,IF(F2264="&gt;95",95,IF(ISNUMBER(F2264),F2264,"")))</f>
        <v/>
      </c>
    </row>
    <row r="2265" spans="1:8" ht="19.95" customHeight="1">
      <c r="A2265" s="5" t="str">
        <f>IF($G2265="","",INDEX('EDS Lookup'!$D$6:$D$2819,$G2265))</f>
        <v/>
      </c>
      <c r="B2265" s="5" t="str">
        <f>IF($G2265="","",INDEX('EDS Lookup'!$B$6:$B$2819,$G2265))</f>
        <v/>
      </c>
      <c r="C2265" s="17"/>
      <c r="D2265" s="6"/>
      <c r="E2265" s="7" t="str">
        <f>IF($G2265="","",INDEX('EDS Lookup'!$F$6:$F$2819,$G2265))</f>
        <v/>
      </c>
      <c r="F2265" s="8" t="str">
        <f>IF($G2265="","",INDEX('EDS Lookup'!$G$6:$G$2819,$G2265))</f>
        <v/>
      </c>
      <c r="G2265" t="str">
        <f>IF(2242&lt;=$B$4,IFERROR(MATCH(2242,'EDS Lookup'!$H$6:$H$2819,0),""),"")</f>
        <v/>
      </c>
      <c r="H2265" t="str">
        <f t="shared" si="35"/>
        <v/>
      </c>
    </row>
    <row r="2266" spans="1:8" ht="19.95" customHeight="1">
      <c r="A2266" s="5" t="str">
        <f>IF($G2266="","",INDEX('EDS Lookup'!$D$6:$D$2819,$G2266))</f>
        <v/>
      </c>
      <c r="B2266" s="5" t="str">
        <f>IF($G2266="","",INDEX('EDS Lookup'!$B$6:$B$2819,$G2266))</f>
        <v/>
      </c>
      <c r="C2266" s="17"/>
      <c r="D2266" s="6"/>
      <c r="E2266" s="7" t="str">
        <f>IF($G2266="","",INDEX('EDS Lookup'!$F$6:$F$2819,$G2266))</f>
        <v/>
      </c>
      <c r="F2266" s="8" t="str">
        <f>IF($G2266="","",INDEX('EDS Lookup'!$G$6:$G$2819,$G2266))</f>
        <v/>
      </c>
      <c r="G2266" t="str">
        <f>IF(2243&lt;=$B$4,IFERROR(MATCH(2243,'EDS Lookup'!$H$6:$H$2819,0),""),"")</f>
        <v/>
      </c>
      <c r="H2266" t="str">
        <f t="shared" si="35"/>
        <v/>
      </c>
    </row>
    <row r="2267" spans="1:8" ht="19.95" customHeight="1">
      <c r="A2267" s="5" t="str">
        <f>IF($G2267="","",INDEX('EDS Lookup'!$D$6:$D$2819,$G2267))</f>
        <v/>
      </c>
      <c r="B2267" s="5" t="str">
        <f>IF($G2267="","",INDEX('EDS Lookup'!$B$6:$B$2819,$G2267))</f>
        <v/>
      </c>
      <c r="C2267" s="17"/>
      <c r="D2267" s="6"/>
      <c r="E2267" s="7" t="str">
        <f>IF($G2267="","",INDEX('EDS Lookup'!$F$6:$F$2819,$G2267))</f>
        <v/>
      </c>
      <c r="F2267" s="8" t="str">
        <f>IF($G2267="","",INDEX('EDS Lookup'!$G$6:$G$2819,$G2267))</f>
        <v/>
      </c>
      <c r="G2267" t="str">
        <f>IF(2244&lt;=$B$4,IFERROR(MATCH(2244,'EDS Lookup'!$H$6:$H$2819,0),""),"")</f>
        <v/>
      </c>
      <c r="H2267" t="str">
        <f t="shared" si="35"/>
        <v/>
      </c>
    </row>
    <row r="2268" spans="1:8" ht="19.95" customHeight="1">
      <c r="A2268" s="5" t="str">
        <f>IF($G2268="","",INDEX('EDS Lookup'!$D$6:$D$2819,$G2268))</f>
        <v/>
      </c>
      <c r="B2268" s="5" t="str">
        <f>IF($G2268="","",INDEX('EDS Lookup'!$B$6:$B$2819,$G2268))</f>
        <v/>
      </c>
      <c r="C2268" s="17"/>
      <c r="D2268" s="6"/>
      <c r="E2268" s="7" t="str">
        <f>IF($G2268="","",INDEX('EDS Lookup'!$F$6:$F$2819,$G2268))</f>
        <v/>
      </c>
      <c r="F2268" s="8" t="str">
        <f>IF($G2268="","",INDEX('EDS Lookup'!$G$6:$G$2819,$G2268))</f>
        <v/>
      </c>
      <c r="G2268" t="str">
        <f>IF(2245&lt;=$B$4,IFERROR(MATCH(2245,'EDS Lookup'!$H$6:$H$2819,0),""),"")</f>
        <v/>
      </c>
      <c r="H2268" t="str">
        <f t="shared" si="35"/>
        <v/>
      </c>
    </row>
    <row r="2269" spans="1:8" ht="19.95" customHeight="1">
      <c r="A2269" s="5" t="str">
        <f>IF($G2269="","",INDEX('EDS Lookup'!$D$6:$D$2819,$G2269))</f>
        <v/>
      </c>
      <c r="B2269" s="5" t="str">
        <f>IF($G2269="","",INDEX('EDS Lookup'!$B$6:$B$2819,$G2269))</f>
        <v/>
      </c>
      <c r="C2269" s="17"/>
      <c r="D2269" s="6"/>
      <c r="E2269" s="7" t="str">
        <f>IF($G2269="","",INDEX('EDS Lookup'!$F$6:$F$2819,$G2269))</f>
        <v/>
      </c>
      <c r="F2269" s="8" t="str">
        <f>IF($G2269="","",INDEX('EDS Lookup'!$G$6:$G$2819,$G2269))</f>
        <v/>
      </c>
      <c r="G2269" t="str">
        <f>IF(2246&lt;=$B$4,IFERROR(MATCH(2246,'EDS Lookup'!$H$6:$H$2819,0),""),"")</f>
        <v/>
      </c>
      <c r="H2269" t="str">
        <f t="shared" si="35"/>
        <v/>
      </c>
    </row>
    <row r="2270" spans="1:8" ht="19.95" customHeight="1">
      <c r="A2270" s="5" t="str">
        <f>IF($G2270="","",INDEX('EDS Lookup'!$D$6:$D$2819,$G2270))</f>
        <v/>
      </c>
      <c r="B2270" s="5" t="str">
        <f>IF($G2270="","",INDEX('EDS Lookup'!$B$6:$B$2819,$G2270))</f>
        <v/>
      </c>
      <c r="C2270" s="17"/>
      <c r="D2270" s="6"/>
      <c r="E2270" s="7" t="str">
        <f>IF($G2270="","",INDEX('EDS Lookup'!$F$6:$F$2819,$G2270))</f>
        <v/>
      </c>
      <c r="F2270" s="8" t="str">
        <f>IF($G2270="","",INDEX('EDS Lookup'!$G$6:$G$2819,$G2270))</f>
        <v/>
      </c>
      <c r="G2270" t="str">
        <f>IF(2247&lt;=$B$4,IFERROR(MATCH(2247,'EDS Lookup'!$H$6:$H$2819,0),""),"")</f>
        <v/>
      </c>
      <c r="H2270" t="str">
        <f t="shared" si="35"/>
        <v/>
      </c>
    </row>
    <row r="2271" spans="1:8" ht="19.95" customHeight="1">
      <c r="A2271" s="5" t="str">
        <f>IF($G2271="","",INDEX('EDS Lookup'!$D$6:$D$2819,$G2271))</f>
        <v/>
      </c>
      <c r="B2271" s="5" t="str">
        <f>IF($G2271="","",INDEX('EDS Lookup'!$B$6:$B$2819,$G2271))</f>
        <v/>
      </c>
      <c r="C2271" s="17"/>
      <c r="D2271" s="6"/>
      <c r="E2271" s="7" t="str">
        <f>IF($G2271="","",INDEX('EDS Lookup'!$F$6:$F$2819,$G2271))</f>
        <v/>
      </c>
      <c r="F2271" s="8" t="str">
        <f>IF($G2271="","",INDEX('EDS Lookup'!$G$6:$G$2819,$G2271))</f>
        <v/>
      </c>
      <c r="G2271" t="str">
        <f>IF(2248&lt;=$B$4,IFERROR(MATCH(2248,'EDS Lookup'!$H$6:$H$2819,0),""),"")</f>
        <v/>
      </c>
      <c r="H2271" t="str">
        <f t="shared" si="35"/>
        <v/>
      </c>
    </row>
    <row r="2272" spans="1:8" ht="19.95" customHeight="1">
      <c r="A2272" s="5" t="str">
        <f>IF($G2272="","",INDEX('EDS Lookup'!$D$6:$D$2819,$G2272))</f>
        <v/>
      </c>
      <c r="B2272" s="5" t="str">
        <f>IF($G2272="","",INDEX('EDS Lookup'!$B$6:$B$2819,$G2272))</f>
        <v/>
      </c>
      <c r="C2272" s="17"/>
      <c r="D2272" s="6"/>
      <c r="E2272" s="7" t="str">
        <f>IF($G2272="","",INDEX('EDS Lookup'!$F$6:$F$2819,$G2272))</f>
        <v/>
      </c>
      <c r="F2272" s="8" t="str">
        <f>IF($G2272="","",INDEX('EDS Lookup'!$G$6:$G$2819,$G2272))</f>
        <v/>
      </c>
      <c r="G2272" t="str">
        <f>IF(2249&lt;=$B$4,IFERROR(MATCH(2249,'EDS Lookup'!$H$6:$H$2819,0),""),"")</f>
        <v/>
      </c>
      <c r="H2272" t="str">
        <f t="shared" si="35"/>
        <v/>
      </c>
    </row>
    <row r="2273" spans="1:8" ht="19.95" customHeight="1">
      <c r="A2273" s="5" t="str">
        <f>IF($G2273="","",INDEX('EDS Lookup'!$D$6:$D$2819,$G2273))</f>
        <v/>
      </c>
      <c r="B2273" s="5" t="str">
        <f>IF($G2273="","",INDEX('EDS Lookup'!$B$6:$B$2819,$G2273))</f>
        <v/>
      </c>
      <c r="C2273" s="17"/>
      <c r="D2273" s="6"/>
      <c r="E2273" s="7" t="str">
        <f>IF($G2273="","",INDEX('EDS Lookup'!$F$6:$F$2819,$G2273))</f>
        <v/>
      </c>
      <c r="F2273" s="8" t="str">
        <f>IF($G2273="","",INDEX('EDS Lookup'!$G$6:$G$2819,$G2273))</f>
        <v/>
      </c>
      <c r="G2273" t="str">
        <f>IF(2250&lt;=$B$4,IFERROR(MATCH(2250,'EDS Lookup'!$H$6:$H$2819,0),""),"")</f>
        <v/>
      </c>
      <c r="H2273" t="str">
        <f t="shared" si="35"/>
        <v/>
      </c>
    </row>
    <row r="2274" spans="1:8" ht="19.95" customHeight="1">
      <c r="A2274" s="5" t="str">
        <f>IF($G2274="","",INDEX('EDS Lookup'!$D$6:$D$2819,$G2274))</f>
        <v/>
      </c>
      <c r="B2274" s="5" t="str">
        <f>IF($G2274="","",INDEX('EDS Lookup'!$B$6:$B$2819,$G2274))</f>
        <v/>
      </c>
      <c r="C2274" s="17"/>
      <c r="D2274" s="6"/>
      <c r="E2274" s="7" t="str">
        <f>IF($G2274="","",INDEX('EDS Lookup'!$F$6:$F$2819,$G2274))</f>
        <v/>
      </c>
      <c r="F2274" s="8" t="str">
        <f>IF($G2274="","",INDEX('EDS Lookup'!$G$6:$G$2819,$G2274))</f>
        <v/>
      </c>
      <c r="G2274" t="str">
        <f>IF(2251&lt;=$B$4,IFERROR(MATCH(2251,'EDS Lookup'!$H$6:$H$2819,0),""),"")</f>
        <v/>
      </c>
      <c r="H2274" t="str">
        <f t="shared" si="35"/>
        <v/>
      </c>
    </row>
    <row r="2275" spans="1:8" ht="19.95" customHeight="1">
      <c r="A2275" s="5" t="str">
        <f>IF($G2275="","",INDEX('EDS Lookup'!$D$6:$D$2819,$G2275))</f>
        <v/>
      </c>
      <c r="B2275" s="5" t="str">
        <f>IF($G2275="","",INDEX('EDS Lookup'!$B$6:$B$2819,$G2275))</f>
        <v/>
      </c>
      <c r="C2275" s="17"/>
      <c r="D2275" s="6"/>
      <c r="E2275" s="7" t="str">
        <f>IF($G2275="","",INDEX('EDS Lookup'!$F$6:$F$2819,$G2275))</f>
        <v/>
      </c>
      <c r="F2275" s="8" t="str">
        <f>IF($G2275="","",INDEX('EDS Lookup'!$G$6:$G$2819,$G2275))</f>
        <v/>
      </c>
      <c r="G2275" t="str">
        <f>IF(2252&lt;=$B$4,IFERROR(MATCH(2252,'EDS Lookup'!$H$6:$H$2819,0),""),"")</f>
        <v/>
      </c>
      <c r="H2275" t="str">
        <f t="shared" si="35"/>
        <v/>
      </c>
    </row>
    <row r="2276" spans="1:8" ht="19.95" customHeight="1">
      <c r="A2276" s="5" t="str">
        <f>IF($G2276="","",INDEX('EDS Lookup'!$D$6:$D$2819,$G2276))</f>
        <v/>
      </c>
      <c r="B2276" s="5" t="str">
        <f>IF($G2276="","",INDEX('EDS Lookup'!$B$6:$B$2819,$G2276))</f>
        <v/>
      </c>
      <c r="C2276" s="17"/>
      <c r="D2276" s="6"/>
      <c r="E2276" s="7" t="str">
        <f>IF($G2276="","",INDEX('EDS Lookup'!$F$6:$F$2819,$G2276))</f>
        <v/>
      </c>
      <c r="F2276" s="8" t="str">
        <f>IF($G2276="","",INDEX('EDS Lookup'!$G$6:$G$2819,$G2276))</f>
        <v/>
      </c>
      <c r="G2276" t="str">
        <f>IF(2253&lt;=$B$4,IFERROR(MATCH(2253,'EDS Lookup'!$H$6:$H$2819,0),""),"")</f>
        <v/>
      </c>
      <c r="H2276" t="str">
        <f t="shared" si="35"/>
        <v/>
      </c>
    </row>
    <row r="2277" spans="1:8" ht="19.95" customHeight="1">
      <c r="A2277" s="5" t="str">
        <f>IF($G2277="","",INDEX('EDS Lookup'!$D$6:$D$2819,$G2277))</f>
        <v/>
      </c>
      <c r="B2277" s="5" t="str">
        <f>IF($G2277="","",INDEX('EDS Lookup'!$B$6:$B$2819,$G2277))</f>
        <v/>
      </c>
      <c r="C2277" s="17"/>
      <c r="D2277" s="6"/>
      <c r="E2277" s="7" t="str">
        <f>IF($G2277="","",INDEX('EDS Lookup'!$F$6:$F$2819,$G2277))</f>
        <v/>
      </c>
      <c r="F2277" s="8" t="str">
        <f>IF($G2277="","",INDEX('EDS Lookup'!$G$6:$G$2819,$G2277))</f>
        <v/>
      </c>
      <c r="G2277" t="str">
        <f>IF(2254&lt;=$B$4,IFERROR(MATCH(2254,'EDS Lookup'!$H$6:$H$2819,0),""),"")</f>
        <v/>
      </c>
      <c r="H2277" t="str">
        <f t="shared" si="35"/>
        <v/>
      </c>
    </row>
    <row r="2278" spans="1:8" ht="19.95" customHeight="1">
      <c r="A2278" s="5" t="str">
        <f>IF($G2278="","",INDEX('EDS Lookup'!$D$6:$D$2819,$G2278))</f>
        <v/>
      </c>
      <c r="B2278" s="5" t="str">
        <f>IF($G2278="","",INDEX('EDS Lookup'!$B$6:$B$2819,$G2278))</f>
        <v/>
      </c>
      <c r="C2278" s="17"/>
      <c r="D2278" s="6"/>
      <c r="E2278" s="7" t="str">
        <f>IF($G2278="","",INDEX('EDS Lookup'!$F$6:$F$2819,$G2278))</f>
        <v/>
      </c>
      <c r="F2278" s="8" t="str">
        <f>IF($G2278="","",INDEX('EDS Lookup'!$G$6:$G$2819,$G2278))</f>
        <v/>
      </c>
      <c r="G2278" t="str">
        <f>IF(2255&lt;=$B$4,IFERROR(MATCH(2255,'EDS Lookup'!$H$6:$H$2819,0),""),"")</f>
        <v/>
      </c>
      <c r="H2278" t="str">
        <f t="shared" si="35"/>
        <v/>
      </c>
    </row>
    <row r="2279" spans="1:8" ht="19.95" customHeight="1">
      <c r="A2279" s="5" t="str">
        <f>IF($G2279="","",INDEX('EDS Lookup'!$D$6:$D$2819,$G2279))</f>
        <v/>
      </c>
      <c r="B2279" s="5" t="str">
        <f>IF($G2279="","",INDEX('EDS Lookup'!$B$6:$B$2819,$G2279))</f>
        <v/>
      </c>
      <c r="C2279" s="17"/>
      <c r="D2279" s="6"/>
      <c r="E2279" s="7" t="str">
        <f>IF($G2279="","",INDEX('EDS Lookup'!$F$6:$F$2819,$G2279))</f>
        <v/>
      </c>
      <c r="F2279" s="8" t="str">
        <f>IF($G2279="","",INDEX('EDS Lookup'!$G$6:$G$2819,$G2279))</f>
        <v/>
      </c>
      <c r="G2279" t="str">
        <f>IF(2256&lt;=$B$4,IFERROR(MATCH(2256,'EDS Lookup'!$H$6:$H$2819,0),""),"")</f>
        <v/>
      </c>
      <c r="H2279" t="str">
        <f t="shared" si="35"/>
        <v/>
      </c>
    </row>
    <row r="2280" spans="1:8" ht="19.95" customHeight="1">
      <c r="A2280" s="5" t="str">
        <f>IF($G2280="","",INDEX('EDS Lookup'!$D$6:$D$2819,$G2280))</f>
        <v/>
      </c>
      <c r="B2280" s="5" t="str">
        <f>IF($G2280="","",INDEX('EDS Lookup'!$B$6:$B$2819,$G2280))</f>
        <v/>
      </c>
      <c r="C2280" s="17"/>
      <c r="D2280" s="6"/>
      <c r="E2280" s="7" t="str">
        <f>IF($G2280="","",INDEX('EDS Lookup'!$F$6:$F$2819,$G2280))</f>
        <v/>
      </c>
      <c r="F2280" s="8" t="str">
        <f>IF($G2280="","",INDEX('EDS Lookup'!$G$6:$G$2819,$G2280))</f>
        <v/>
      </c>
      <c r="G2280" t="str">
        <f>IF(2257&lt;=$B$4,IFERROR(MATCH(2257,'EDS Lookup'!$H$6:$H$2819,0),""),"")</f>
        <v/>
      </c>
      <c r="H2280" t="str">
        <f t="shared" si="35"/>
        <v/>
      </c>
    </row>
    <row r="2281" spans="1:8" ht="19.95" customHeight="1">
      <c r="A2281" s="5" t="str">
        <f>IF($G2281="","",INDEX('EDS Lookup'!$D$6:$D$2819,$G2281))</f>
        <v/>
      </c>
      <c r="B2281" s="5" t="str">
        <f>IF($G2281="","",INDEX('EDS Lookup'!$B$6:$B$2819,$G2281))</f>
        <v/>
      </c>
      <c r="C2281" s="17"/>
      <c r="D2281" s="6"/>
      <c r="E2281" s="7" t="str">
        <f>IF($G2281="","",INDEX('EDS Lookup'!$F$6:$F$2819,$G2281))</f>
        <v/>
      </c>
      <c r="F2281" s="8" t="str">
        <f>IF($G2281="","",INDEX('EDS Lookup'!$G$6:$G$2819,$G2281))</f>
        <v/>
      </c>
      <c r="G2281" t="str">
        <f>IF(2258&lt;=$B$4,IFERROR(MATCH(2258,'EDS Lookup'!$H$6:$H$2819,0),""),"")</f>
        <v/>
      </c>
      <c r="H2281" t="str">
        <f t="shared" si="35"/>
        <v/>
      </c>
    </row>
    <row r="2282" spans="1:8" ht="19.95" customHeight="1">
      <c r="A2282" s="5" t="str">
        <f>IF($G2282="","",INDEX('EDS Lookup'!$D$6:$D$2819,$G2282))</f>
        <v/>
      </c>
      <c r="B2282" s="5" t="str">
        <f>IF($G2282="","",INDEX('EDS Lookup'!$B$6:$B$2819,$G2282))</f>
        <v/>
      </c>
      <c r="C2282" s="17"/>
      <c r="D2282" s="6"/>
      <c r="E2282" s="7" t="str">
        <f>IF($G2282="","",INDEX('EDS Lookup'!$F$6:$F$2819,$G2282))</f>
        <v/>
      </c>
      <c r="F2282" s="8" t="str">
        <f>IF($G2282="","",INDEX('EDS Lookup'!$G$6:$G$2819,$G2282))</f>
        <v/>
      </c>
      <c r="G2282" t="str">
        <f>IF(2259&lt;=$B$4,IFERROR(MATCH(2259,'EDS Lookup'!$H$6:$H$2819,0),""),"")</f>
        <v/>
      </c>
      <c r="H2282" t="str">
        <f t="shared" si="35"/>
        <v/>
      </c>
    </row>
    <row r="2283" spans="1:8" ht="19.95" customHeight="1">
      <c r="A2283" s="5" t="str">
        <f>IF($G2283="","",INDEX('EDS Lookup'!$D$6:$D$2819,$G2283))</f>
        <v/>
      </c>
      <c r="B2283" s="5" t="str">
        <f>IF($G2283="","",INDEX('EDS Lookup'!$B$6:$B$2819,$G2283))</f>
        <v/>
      </c>
      <c r="C2283" s="17"/>
      <c r="D2283" s="6"/>
      <c r="E2283" s="7" t="str">
        <f>IF($G2283="","",INDEX('EDS Lookup'!$F$6:$F$2819,$G2283))</f>
        <v/>
      </c>
      <c r="F2283" s="8" t="str">
        <f>IF($G2283="","",INDEX('EDS Lookup'!$G$6:$G$2819,$G2283))</f>
        <v/>
      </c>
      <c r="G2283" t="str">
        <f>IF(2260&lt;=$B$4,IFERROR(MATCH(2260,'EDS Lookup'!$H$6:$H$2819,0),""),"")</f>
        <v/>
      </c>
      <c r="H2283" t="str">
        <f t="shared" si="35"/>
        <v/>
      </c>
    </row>
    <row r="2284" spans="1:8" ht="19.95" customHeight="1">
      <c r="A2284" s="5" t="str">
        <f>IF($G2284="","",INDEX('EDS Lookup'!$D$6:$D$2819,$G2284))</f>
        <v/>
      </c>
      <c r="B2284" s="5" t="str">
        <f>IF($G2284="","",INDEX('EDS Lookup'!$B$6:$B$2819,$G2284))</f>
        <v/>
      </c>
      <c r="C2284" s="17"/>
      <c r="D2284" s="6"/>
      <c r="E2284" s="7" t="str">
        <f>IF($G2284="","",INDEX('EDS Lookup'!$F$6:$F$2819,$G2284))</f>
        <v/>
      </c>
      <c r="F2284" s="8" t="str">
        <f>IF($G2284="","",INDEX('EDS Lookup'!$G$6:$G$2819,$G2284))</f>
        <v/>
      </c>
      <c r="G2284" t="str">
        <f>IF(2261&lt;=$B$4,IFERROR(MATCH(2261,'EDS Lookup'!$H$6:$H$2819,0),""),"")</f>
        <v/>
      </c>
      <c r="H2284" t="str">
        <f t="shared" si="35"/>
        <v/>
      </c>
    </row>
    <row r="2285" spans="1:8" ht="19.95" customHeight="1">
      <c r="A2285" s="5" t="str">
        <f>IF($G2285="","",INDEX('EDS Lookup'!$D$6:$D$2819,$G2285))</f>
        <v/>
      </c>
      <c r="B2285" s="5" t="str">
        <f>IF($G2285="","",INDEX('EDS Lookup'!$B$6:$B$2819,$G2285))</f>
        <v/>
      </c>
      <c r="C2285" s="17"/>
      <c r="D2285" s="6"/>
      <c r="E2285" s="7" t="str">
        <f>IF($G2285="","",INDEX('EDS Lookup'!$F$6:$F$2819,$G2285))</f>
        <v/>
      </c>
      <c r="F2285" s="8" t="str">
        <f>IF($G2285="","",INDEX('EDS Lookup'!$G$6:$G$2819,$G2285))</f>
        <v/>
      </c>
      <c r="G2285" t="str">
        <f>IF(2262&lt;=$B$4,IFERROR(MATCH(2262,'EDS Lookup'!$H$6:$H$2819,0),""),"")</f>
        <v/>
      </c>
      <c r="H2285" t="str">
        <f t="shared" si="35"/>
        <v/>
      </c>
    </row>
    <row r="2286" spans="1:8" ht="19.95" customHeight="1">
      <c r="A2286" s="5" t="str">
        <f>IF($G2286="","",INDEX('EDS Lookup'!$D$6:$D$2819,$G2286))</f>
        <v/>
      </c>
      <c r="B2286" s="5" t="str">
        <f>IF($G2286="","",INDEX('EDS Lookup'!$B$6:$B$2819,$G2286))</f>
        <v/>
      </c>
      <c r="C2286" s="17"/>
      <c r="D2286" s="6"/>
      <c r="E2286" s="7" t="str">
        <f>IF($G2286="","",INDEX('EDS Lookup'!$F$6:$F$2819,$G2286))</f>
        <v/>
      </c>
      <c r="F2286" s="8" t="str">
        <f>IF($G2286="","",INDEX('EDS Lookup'!$G$6:$G$2819,$G2286))</f>
        <v/>
      </c>
      <c r="G2286" t="str">
        <f>IF(2263&lt;=$B$4,IFERROR(MATCH(2263,'EDS Lookup'!$H$6:$H$2819,0),""),"")</f>
        <v/>
      </c>
      <c r="H2286" t="str">
        <f t="shared" si="35"/>
        <v/>
      </c>
    </row>
    <row r="2287" spans="1:8" ht="19.95" customHeight="1">
      <c r="A2287" s="5" t="str">
        <f>IF($G2287="","",INDEX('EDS Lookup'!$D$6:$D$2819,$G2287))</f>
        <v/>
      </c>
      <c r="B2287" s="5" t="str">
        <f>IF($G2287="","",INDEX('EDS Lookup'!$B$6:$B$2819,$G2287))</f>
        <v/>
      </c>
      <c r="C2287" s="17"/>
      <c r="D2287" s="6"/>
      <c r="E2287" s="7" t="str">
        <f>IF($G2287="","",INDEX('EDS Lookup'!$F$6:$F$2819,$G2287))</f>
        <v/>
      </c>
      <c r="F2287" s="8" t="str">
        <f>IF($G2287="","",INDEX('EDS Lookup'!$G$6:$G$2819,$G2287))</f>
        <v/>
      </c>
      <c r="G2287" t="str">
        <f>IF(2264&lt;=$B$4,IFERROR(MATCH(2264,'EDS Lookup'!$H$6:$H$2819,0),""),"")</f>
        <v/>
      </c>
      <c r="H2287" t="str">
        <f t="shared" si="35"/>
        <v/>
      </c>
    </row>
    <row r="2288" spans="1:8" ht="19.95" customHeight="1">
      <c r="A2288" s="5" t="str">
        <f>IF($G2288="","",INDEX('EDS Lookup'!$D$6:$D$2819,$G2288))</f>
        <v/>
      </c>
      <c r="B2288" s="5" t="str">
        <f>IF($G2288="","",INDEX('EDS Lookup'!$B$6:$B$2819,$G2288))</f>
        <v/>
      </c>
      <c r="C2288" s="17"/>
      <c r="D2288" s="6"/>
      <c r="E2288" s="7" t="str">
        <f>IF($G2288="","",INDEX('EDS Lookup'!$F$6:$F$2819,$G2288))</f>
        <v/>
      </c>
      <c r="F2288" s="8" t="str">
        <f>IF($G2288="","",INDEX('EDS Lookup'!$G$6:$G$2819,$G2288))</f>
        <v/>
      </c>
      <c r="G2288" t="str">
        <f>IF(2265&lt;=$B$4,IFERROR(MATCH(2265,'EDS Lookup'!$H$6:$H$2819,0),""),"")</f>
        <v/>
      </c>
      <c r="H2288" t="str">
        <f t="shared" si="35"/>
        <v/>
      </c>
    </row>
    <row r="2289" spans="1:8" ht="19.95" customHeight="1">
      <c r="A2289" s="5" t="str">
        <f>IF($G2289="","",INDEX('EDS Lookup'!$D$6:$D$2819,$G2289))</f>
        <v/>
      </c>
      <c r="B2289" s="5" t="str">
        <f>IF($G2289="","",INDEX('EDS Lookup'!$B$6:$B$2819,$G2289))</f>
        <v/>
      </c>
      <c r="C2289" s="17"/>
      <c r="D2289" s="6"/>
      <c r="E2289" s="7" t="str">
        <f>IF($G2289="","",INDEX('EDS Lookup'!$F$6:$F$2819,$G2289))</f>
        <v/>
      </c>
      <c r="F2289" s="8" t="str">
        <f>IF($G2289="","",INDEX('EDS Lookup'!$G$6:$G$2819,$G2289))</f>
        <v/>
      </c>
      <c r="G2289" t="str">
        <f>IF(2266&lt;=$B$4,IFERROR(MATCH(2266,'EDS Lookup'!$H$6:$H$2819,0),""),"")</f>
        <v/>
      </c>
      <c r="H2289" t="str">
        <f t="shared" si="35"/>
        <v/>
      </c>
    </row>
    <row r="2290" spans="1:8" ht="19.95" customHeight="1">
      <c r="A2290" s="5" t="str">
        <f>IF($G2290="","",INDEX('EDS Lookup'!$D$6:$D$2819,$G2290))</f>
        <v/>
      </c>
      <c r="B2290" s="5" t="str">
        <f>IF($G2290="","",INDEX('EDS Lookup'!$B$6:$B$2819,$G2290))</f>
        <v/>
      </c>
      <c r="C2290" s="17"/>
      <c r="D2290" s="6"/>
      <c r="E2290" s="7" t="str">
        <f>IF($G2290="","",INDEX('EDS Lookup'!$F$6:$F$2819,$G2290))</f>
        <v/>
      </c>
      <c r="F2290" s="8" t="str">
        <f>IF($G2290="","",INDEX('EDS Lookup'!$G$6:$G$2819,$G2290))</f>
        <v/>
      </c>
      <c r="G2290" t="str">
        <f>IF(2267&lt;=$B$4,IFERROR(MATCH(2267,'EDS Lookup'!$H$6:$H$2819,0),""),"")</f>
        <v/>
      </c>
      <c r="H2290" t="str">
        <f t="shared" si="35"/>
        <v/>
      </c>
    </row>
    <row r="2291" spans="1:8" ht="19.95" customHeight="1">
      <c r="A2291" s="5" t="str">
        <f>IF($G2291="","",INDEX('EDS Lookup'!$D$6:$D$2819,$G2291))</f>
        <v/>
      </c>
      <c r="B2291" s="5" t="str">
        <f>IF($G2291="","",INDEX('EDS Lookup'!$B$6:$B$2819,$G2291))</f>
        <v/>
      </c>
      <c r="C2291" s="17"/>
      <c r="D2291" s="6"/>
      <c r="E2291" s="7" t="str">
        <f>IF($G2291="","",INDEX('EDS Lookup'!$F$6:$F$2819,$G2291))</f>
        <v/>
      </c>
      <c r="F2291" s="8" t="str">
        <f>IF($G2291="","",INDEX('EDS Lookup'!$G$6:$G$2819,$G2291))</f>
        <v/>
      </c>
      <c r="G2291" t="str">
        <f>IF(2268&lt;=$B$4,IFERROR(MATCH(2268,'EDS Lookup'!$H$6:$H$2819,0),""),"")</f>
        <v/>
      </c>
      <c r="H2291" t="str">
        <f t="shared" si="35"/>
        <v/>
      </c>
    </row>
    <row r="2292" spans="1:8" ht="19.95" customHeight="1">
      <c r="A2292" s="5" t="str">
        <f>IF($G2292="","",INDEX('EDS Lookup'!$D$6:$D$2819,$G2292))</f>
        <v/>
      </c>
      <c r="B2292" s="5" t="str">
        <f>IF($G2292="","",INDEX('EDS Lookup'!$B$6:$B$2819,$G2292))</f>
        <v/>
      </c>
      <c r="C2292" s="17"/>
      <c r="D2292" s="6"/>
      <c r="E2292" s="7" t="str">
        <f>IF($G2292="","",INDEX('EDS Lookup'!$F$6:$F$2819,$G2292))</f>
        <v/>
      </c>
      <c r="F2292" s="8" t="str">
        <f>IF($G2292="","",INDEX('EDS Lookup'!$G$6:$G$2819,$G2292))</f>
        <v/>
      </c>
      <c r="G2292" t="str">
        <f>IF(2269&lt;=$B$4,IFERROR(MATCH(2269,'EDS Lookup'!$H$6:$H$2819,0),""),"")</f>
        <v/>
      </c>
      <c r="H2292" t="str">
        <f t="shared" si="35"/>
        <v/>
      </c>
    </row>
    <row r="2293" spans="1:8" ht="19.95" customHeight="1">
      <c r="A2293" s="5" t="str">
        <f>IF($G2293="","",INDEX('EDS Lookup'!$D$6:$D$2819,$G2293))</f>
        <v/>
      </c>
      <c r="B2293" s="5" t="str">
        <f>IF($G2293="","",INDEX('EDS Lookup'!$B$6:$B$2819,$G2293))</f>
        <v/>
      </c>
      <c r="C2293" s="17"/>
      <c r="D2293" s="6"/>
      <c r="E2293" s="7" t="str">
        <f>IF($G2293="","",INDEX('EDS Lookup'!$F$6:$F$2819,$G2293))</f>
        <v/>
      </c>
      <c r="F2293" s="8" t="str">
        <f>IF($G2293="","",INDEX('EDS Lookup'!$G$6:$G$2819,$G2293))</f>
        <v/>
      </c>
      <c r="G2293" t="str">
        <f>IF(2270&lt;=$B$4,IFERROR(MATCH(2270,'EDS Lookup'!$H$6:$H$2819,0),""),"")</f>
        <v/>
      </c>
      <c r="H2293" t="str">
        <f t="shared" si="35"/>
        <v/>
      </c>
    </row>
    <row r="2294" spans="1:8" ht="19.95" customHeight="1">
      <c r="A2294" s="5" t="str">
        <f>IF($G2294="","",INDEX('EDS Lookup'!$D$6:$D$2819,$G2294))</f>
        <v/>
      </c>
      <c r="B2294" s="5" t="str">
        <f>IF($G2294="","",INDEX('EDS Lookup'!$B$6:$B$2819,$G2294))</f>
        <v/>
      </c>
      <c r="C2294" s="17"/>
      <c r="D2294" s="6"/>
      <c r="E2294" s="7" t="str">
        <f>IF($G2294="","",INDEX('EDS Lookup'!$F$6:$F$2819,$G2294))</f>
        <v/>
      </c>
      <c r="F2294" s="8" t="str">
        <f>IF($G2294="","",INDEX('EDS Lookup'!$G$6:$G$2819,$G2294))</f>
        <v/>
      </c>
      <c r="G2294" t="str">
        <f>IF(2271&lt;=$B$4,IFERROR(MATCH(2271,'EDS Lookup'!$H$6:$H$2819,0),""),"")</f>
        <v/>
      </c>
      <c r="H2294" t="str">
        <f t="shared" si="35"/>
        <v/>
      </c>
    </row>
    <row r="2295" spans="1:8" ht="19.95" customHeight="1">
      <c r="A2295" s="5" t="str">
        <f>IF($G2295="","",INDEX('EDS Lookup'!$D$6:$D$2819,$G2295))</f>
        <v/>
      </c>
      <c r="B2295" s="5" t="str">
        <f>IF($G2295="","",INDEX('EDS Lookup'!$B$6:$B$2819,$G2295))</f>
        <v/>
      </c>
      <c r="C2295" s="17"/>
      <c r="D2295" s="6"/>
      <c r="E2295" s="7" t="str">
        <f>IF($G2295="","",INDEX('EDS Lookup'!$F$6:$F$2819,$G2295))</f>
        <v/>
      </c>
      <c r="F2295" s="8" t="str">
        <f>IF($G2295="","",INDEX('EDS Lookup'!$G$6:$G$2819,$G2295))</f>
        <v/>
      </c>
      <c r="G2295" t="str">
        <f>IF(2272&lt;=$B$4,IFERROR(MATCH(2272,'EDS Lookup'!$H$6:$H$2819,0),""),"")</f>
        <v/>
      </c>
      <c r="H2295" t="str">
        <f t="shared" si="35"/>
        <v/>
      </c>
    </row>
    <row r="2296" spans="1:8" ht="19.95" customHeight="1">
      <c r="A2296" s="5" t="str">
        <f>IF($G2296="","",INDEX('EDS Lookup'!$D$6:$D$2819,$G2296))</f>
        <v/>
      </c>
      <c r="B2296" s="5" t="str">
        <f>IF($G2296="","",INDEX('EDS Lookup'!$B$6:$B$2819,$G2296))</f>
        <v/>
      </c>
      <c r="C2296" s="17"/>
      <c r="D2296" s="6"/>
      <c r="E2296" s="7" t="str">
        <f>IF($G2296="","",INDEX('EDS Lookup'!$F$6:$F$2819,$G2296))</f>
        <v/>
      </c>
      <c r="F2296" s="8" t="str">
        <f>IF($G2296="","",INDEX('EDS Lookup'!$G$6:$G$2819,$G2296))</f>
        <v/>
      </c>
      <c r="G2296" t="str">
        <f>IF(2273&lt;=$B$4,IFERROR(MATCH(2273,'EDS Lookup'!$H$6:$H$2819,0),""),"")</f>
        <v/>
      </c>
      <c r="H2296" t="str">
        <f t="shared" si="35"/>
        <v/>
      </c>
    </row>
    <row r="2297" spans="1:8" ht="19.95" customHeight="1">
      <c r="A2297" s="5" t="str">
        <f>IF($G2297="","",INDEX('EDS Lookup'!$D$6:$D$2819,$G2297))</f>
        <v/>
      </c>
      <c r="B2297" s="5" t="str">
        <f>IF($G2297="","",INDEX('EDS Lookup'!$B$6:$B$2819,$G2297))</f>
        <v/>
      </c>
      <c r="C2297" s="17"/>
      <c r="D2297" s="6"/>
      <c r="E2297" s="7" t="str">
        <f>IF($G2297="","",INDEX('EDS Lookup'!$F$6:$F$2819,$G2297))</f>
        <v/>
      </c>
      <c r="F2297" s="8" t="str">
        <f>IF($G2297="","",INDEX('EDS Lookup'!$G$6:$G$2819,$G2297))</f>
        <v/>
      </c>
      <c r="G2297" t="str">
        <f>IF(2274&lt;=$B$4,IFERROR(MATCH(2274,'EDS Lookup'!$H$6:$H$2819,0),""),"")</f>
        <v/>
      </c>
      <c r="H2297" t="str">
        <f t="shared" si="35"/>
        <v/>
      </c>
    </row>
    <row r="2298" spans="1:8" ht="19.95" customHeight="1">
      <c r="A2298" s="5" t="str">
        <f>IF($G2298="","",INDEX('EDS Lookup'!$D$6:$D$2819,$G2298))</f>
        <v/>
      </c>
      <c r="B2298" s="5" t="str">
        <f>IF($G2298="","",INDEX('EDS Lookup'!$B$6:$B$2819,$G2298))</f>
        <v/>
      </c>
      <c r="C2298" s="17"/>
      <c r="D2298" s="6"/>
      <c r="E2298" s="7" t="str">
        <f>IF($G2298="","",INDEX('EDS Lookup'!$F$6:$F$2819,$G2298))</f>
        <v/>
      </c>
      <c r="F2298" s="8" t="str">
        <f>IF($G2298="","",INDEX('EDS Lookup'!$G$6:$G$2819,$G2298))</f>
        <v/>
      </c>
      <c r="G2298" t="str">
        <f>IF(2275&lt;=$B$4,IFERROR(MATCH(2275,'EDS Lookup'!$H$6:$H$2819,0),""),"")</f>
        <v/>
      </c>
      <c r="H2298" t="str">
        <f t="shared" si="35"/>
        <v/>
      </c>
    </row>
    <row r="2299" spans="1:8" ht="19.95" customHeight="1">
      <c r="A2299" s="5" t="str">
        <f>IF($G2299="","",INDEX('EDS Lookup'!$D$6:$D$2819,$G2299))</f>
        <v/>
      </c>
      <c r="B2299" s="5" t="str">
        <f>IF($G2299="","",INDEX('EDS Lookup'!$B$6:$B$2819,$G2299))</f>
        <v/>
      </c>
      <c r="C2299" s="17"/>
      <c r="D2299" s="6"/>
      <c r="E2299" s="7" t="str">
        <f>IF($G2299="","",INDEX('EDS Lookup'!$F$6:$F$2819,$G2299))</f>
        <v/>
      </c>
      <c r="F2299" s="8" t="str">
        <f>IF($G2299="","",INDEX('EDS Lookup'!$G$6:$G$2819,$G2299))</f>
        <v/>
      </c>
      <c r="G2299" t="str">
        <f>IF(2276&lt;=$B$4,IFERROR(MATCH(2276,'EDS Lookup'!$H$6:$H$2819,0),""),"")</f>
        <v/>
      </c>
      <c r="H2299" t="str">
        <f t="shared" si="35"/>
        <v/>
      </c>
    </row>
    <row r="2300" spans="1:8" ht="19.95" customHeight="1">
      <c r="A2300" s="5" t="str">
        <f>IF($G2300="","",INDEX('EDS Lookup'!$D$6:$D$2819,$G2300))</f>
        <v/>
      </c>
      <c r="B2300" s="5" t="str">
        <f>IF($G2300="","",INDEX('EDS Lookup'!$B$6:$B$2819,$G2300))</f>
        <v/>
      </c>
      <c r="C2300" s="17"/>
      <c r="D2300" s="6"/>
      <c r="E2300" s="7" t="str">
        <f>IF($G2300="","",INDEX('EDS Lookup'!$F$6:$F$2819,$G2300))</f>
        <v/>
      </c>
      <c r="F2300" s="8" t="str">
        <f>IF($G2300="","",INDEX('EDS Lookup'!$G$6:$G$2819,$G2300))</f>
        <v/>
      </c>
      <c r="G2300" t="str">
        <f>IF(2277&lt;=$B$4,IFERROR(MATCH(2277,'EDS Lookup'!$H$6:$H$2819,0),""),"")</f>
        <v/>
      </c>
      <c r="H2300" t="str">
        <f t="shared" si="35"/>
        <v/>
      </c>
    </row>
    <row r="2301" spans="1:8" ht="19.95" customHeight="1">
      <c r="A2301" s="5" t="str">
        <f>IF($G2301="","",INDEX('EDS Lookup'!$D$6:$D$2819,$G2301))</f>
        <v/>
      </c>
      <c r="B2301" s="5" t="str">
        <f>IF($G2301="","",INDEX('EDS Lookup'!$B$6:$B$2819,$G2301))</f>
        <v/>
      </c>
      <c r="C2301" s="17"/>
      <c r="D2301" s="6"/>
      <c r="E2301" s="7" t="str">
        <f>IF($G2301="","",INDEX('EDS Lookup'!$F$6:$F$2819,$G2301))</f>
        <v/>
      </c>
      <c r="F2301" s="8" t="str">
        <f>IF($G2301="","",INDEX('EDS Lookup'!$G$6:$G$2819,$G2301))</f>
        <v/>
      </c>
      <c r="G2301" t="str">
        <f>IF(2278&lt;=$B$4,IFERROR(MATCH(2278,'EDS Lookup'!$H$6:$H$2819,0),""),"")</f>
        <v/>
      </c>
      <c r="H2301" t="str">
        <f t="shared" si="35"/>
        <v/>
      </c>
    </row>
    <row r="2302" spans="1:8" ht="19.95" customHeight="1">
      <c r="A2302" s="5" t="str">
        <f>IF($G2302="","",INDEX('EDS Lookup'!$D$6:$D$2819,$G2302))</f>
        <v/>
      </c>
      <c r="B2302" s="5" t="str">
        <f>IF($G2302="","",INDEX('EDS Lookup'!$B$6:$B$2819,$G2302))</f>
        <v/>
      </c>
      <c r="C2302" s="17"/>
      <c r="D2302" s="6"/>
      <c r="E2302" s="7" t="str">
        <f>IF($G2302="","",INDEX('EDS Lookup'!$F$6:$F$2819,$G2302))</f>
        <v/>
      </c>
      <c r="F2302" s="8" t="str">
        <f>IF($G2302="","",INDEX('EDS Lookup'!$G$6:$G$2819,$G2302))</f>
        <v/>
      </c>
      <c r="G2302" t="str">
        <f>IF(2279&lt;=$B$4,IFERROR(MATCH(2279,'EDS Lookup'!$H$6:$H$2819,0),""),"")</f>
        <v/>
      </c>
      <c r="H2302" t="str">
        <f t="shared" si="35"/>
        <v/>
      </c>
    </row>
    <row r="2303" spans="1:8" ht="19.95" customHeight="1">
      <c r="A2303" s="5" t="str">
        <f>IF($G2303="","",INDEX('EDS Lookup'!$D$6:$D$2819,$G2303))</f>
        <v/>
      </c>
      <c r="B2303" s="5" t="str">
        <f>IF($G2303="","",INDEX('EDS Lookup'!$B$6:$B$2819,$G2303))</f>
        <v/>
      </c>
      <c r="C2303" s="17"/>
      <c r="D2303" s="6"/>
      <c r="E2303" s="7" t="str">
        <f>IF($G2303="","",INDEX('EDS Lookup'!$F$6:$F$2819,$G2303))</f>
        <v/>
      </c>
      <c r="F2303" s="8" t="str">
        <f>IF($G2303="","",INDEX('EDS Lookup'!$G$6:$G$2819,$G2303))</f>
        <v/>
      </c>
      <c r="G2303" t="str">
        <f>IF(2280&lt;=$B$4,IFERROR(MATCH(2280,'EDS Lookup'!$H$6:$H$2819,0),""),"")</f>
        <v/>
      </c>
      <c r="H2303" t="str">
        <f t="shared" si="35"/>
        <v/>
      </c>
    </row>
    <row r="2304" spans="1:8" ht="19.95" customHeight="1">
      <c r="A2304" s="5" t="str">
        <f>IF($G2304="","",INDEX('EDS Lookup'!$D$6:$D$2819,$G2304))</f>
        <v/>
      </c>
      <c r="B2304" s="5" t="str">
        <f>IF($G2304="","",INDEX('EDS Lookup'!$B$6:$B$2819,$G2304))</f>
        <v/>
      </c>
      <c r="C2304" s="17"/>
      <c r="D2304" s="6"/>
      <c r="E2304" s="7" t="str">
        <f>IF($G2304="","",INDEX('EDS Lookup'!$F$6:$F$2819,$G2304))</f>
        <v/>
      </c>
      <c r="F2304" s="8" t="str">
        <f>IF($G2304="","",INDEX('EDS Lookup'!$G$6:$G$2819,$G2304))</f>
        <v/>
      </c>
      <c r="G2304" t="str">
        <f>IF(2281&lt;=$B$4,IFERROR(MATCH(2281,'EDS Lookup'!$H$6:$H$2819,0),""),"")</f>
        <v/>
      </c>
      <c r="H2304" t="str">
        <f t="shared" si="35"/>
        <v/>
      </c>
    </row>
    <row r="2305" spans="1:8" ht="19.95" customHeight="1">
      <c r="A2305" s="5" t="str">
        <f>IF($G2305="","",INDEX('EDS Lookup'!$D$6:$D$2819,$G2305))</f>
        <v/>
      </c>
      <c r="B2305" s="5" t="str">
        <f>IF($G2305="","",INDEX('EDS Lookup'!$B$6:$B$2819,$G2305))</f>
        <v/>
      </c>
      <c r="C2305" s="17"/>
      <c r="D2305" s="6"/>
      <c r="E2305" s="7" t="str">
        <f>IF($G2305="","",INDEX('EDS Lookup'!$F$6:$F$2819,$G2305))</f>
        <v/>
      </c>
      <c r="F2305" s="8" t="str">
        <f>IF($G2305="","",INDEX('EDS Lookup'!$G$6:$G$2819,$G2305))</f>
        <v/>
      </c>
      <c r="G2305" t="str">
        <f>IF(2282&lt;=$B$4,IFERROR(MATCH(2282,'EDS Lookup'!$H$6:$H$2819,0),""),"")</f>
        <v/>
      </c>
      <c r="H2305" t="str">
        <f t="shared" si="35"/>
        <v/>
      </c>
    </row>
    <row r="2306" spans="1:8" ht="19.95" customHeight="1">
      <c r="A2306" s="5" t="str">
        <f>IF($G2306="","",INDEX('EDS Lookup'!$D$6:$D$2819,$G2306))</f>
        <v/>
      </c>
      <c r="B2306" s="5" t="str">
        <f>IF($G2306="","",INDEX('EDS Lookup'!$B$6:$B$2819,$G2306))</f>
        <v/>
      </c>
      <c r="C2306" s="17"/>
      <c r="D2306" s="6"/>
      <c r="E2306" s="7" t="str">
        <f>IF($G2306="","",INDEX('EDS Lookup'!$F$6:$F$2819,$G2306))</f>
        <v/>
      </c>
      <c r="F2306" s="8" t="str">
        <f>IF($G2306="","",INDEX('EDS Lookup'!$G$6:$G$2819,$G2306))</f>
        <v/>
      </c>
      <c r="G2306" t="str">
        <f>IF(2283&lt;=$B$4,IFERROR(MATCH(2283,'EDS Lookup'!$H$6:$H$2819,0),""),"")</f>
        <v/>
      </c>
      <c r="H2306" t="str">
        <f t="shared" si="35"/>
        <v/>
      </c>
    </row>
    <row r="2307" spans="1:8" ht="19.95" customHeight="1">
      <c r="A2307" s="5" t="str">
        <f>IF($G2307="","",INDEX('EDS Lookup'!$D$6:$D$2819,$G2307))</f>
        <v/>
      </c>
      <c r="B2307" s="5" t="str">
        <f>IF($G2307="","",INDEX('EDS Lookup'!$B$6:$B$2819,$G2307))</f>
        <v/>
      </c>
      <c r="C2307" s="17"/>
      <c r="D2307" s="6"/>
      <c r="E2307" s="7" t="str">
        <f>IF($G2307="","",INDEX('EDS Lookup'!$F$6:$F$2819,$G2307))</f>
        <v/>
      </c>
      <c r="F2307" s="8" t="str">
        <f>IF($G2307="","",INDEX('EDS Lookup'!$G$6:$G$2819,$G2307))</f>
        <v/>
      </c>
      <c r="G2307" t="str">
        <f>IF(2284&lt;=$B$4,IFERROR(MATCH(2284,'EDS Lookup'!$H$6:$H$2819,0),""),"")</f>
        <v/>
      </c>
      <c r="H2307" t="str">
        <f t="shared" si="35"/>
        <v/>
      </c>
    </row>
    <row r="2308" spans="1:8" ht="19.95" customHeight="1">
      <c r="A2308" s="5" t="str">
        <f>IF($G2308="","",INDEX('EDS Lookup'!$D$6:$D$2819,$G2308))</f>
        <v/>
      </c>
      <c r="B2308" s="5" t="str">
        <f>IF($G2308="","",INDEX('EDS Lookup'!$B$6:$B$2819,$G2308))</f>
        <v/>
      </c>
      <c r="C2308" s="17"/>
      <c r="D2308" s="6"/>
      <c r="E2308" s="7" t="str">
        <f>IF($G2308="","",INDEX('EDS Lookup'!$F$6:$F$2819,$G2308))</f>
        <v/>
      </c>
      <c r="F2308" s="8" t="str">
        <f>IF($G2308="","",INDEX('EDS Lookup'!$G$6:$G$2819,$G2308))</f>
        <v/>
      </c>
      <c r="G2308" t="str">
        <f>IF(2285&lt;=$B$4,IFERROR(MATCH(2285,'EDS Lookup'!$H$6:$H$2819,0),""),"")</f>
        <v/>
      </c>
      <c r="H2308" t="str">
        <f t="shared" si="35"/>
        <v/>
      </c>
    </row>
    <row r="2309" spans="1:8" ht="19.95" customHeight="1">
      <c r="A2309" s="5" t="str">
        <f>IF($G2309="","",INDEX('EDS Lookup'!$D$6:$D$2819,$G2309))</f>
        <v/>
      </c>
      <c r="B2309" s="5" t="str">
        <f>IF($G2309="","",INDEX('EDS Lookup'!$B$6:$B$2819,$G2309))</f>
        <v/>
      </c>
      <c r="C2309" s="17"/>
      <c r="D2309" s="6"/>
      <c r="E2309" s="7" t="str">
        <f>IF($G2309="","",INDEX('EDS Lookup'!$F$6:$F$2819,$G2309))</f>
        <v/>
      </c>
      <c r="F2309" s="8" t="str">
        <f>IF($G2309="","",INDEX('EDS Lookup'!$G$6:$G$2819,$G2309))</f>
        <v/>
      </c>
      <c r="G2309" t="str">
        <f>IF(2286&lt;=$B$4,IFERROR(MATCH(2286,'EDS Lookup'!$H$6:$H$2819,0),""),"")</f>
        <v/>
      </c>
      <c r="H2309" t="str">
        <f t="shared" si="35"/>
        <v/>
      </c>
    </row>
    <row r="2310" spans="1:8" ht="19.95" customHeight="1">
      <c r="A2310" s="5" t="str">
        <f>IF($G2310="","",INDEX('EDS Lookup'!$D$6:$D$2819,$G2310))</f>
        <v/>
      </c>
      <c r="B2310" s="5" t="str">
        <f>IF($G2310="","",INDEX('EDS Lookup'!$B$6:$B$2819,$G2310))</f>
        <v/>
      </c>
      <c r="C2310" s="17"/>
      <c r="D2310" s="6"/>
      <c r="E2310" s="7" t="str">
        <f>IF($G2310="","",INDEX('EDS Lookup'!$F$6:$F$2819,$G2310))</f>
        <v/>
      </c>
      <c r="F2310" s="8" t="str">
        <f>IF($G2310="","",INDEX('EDS Lookup'!$G$6:$G$2819,$G2310))</f>
        <v/>
      </c>
      <c r="G2310" t="str">
        <f>IF(2287&lt;=$B$4,IFERROR(MATCH(2287,'EDS Lookup'!$H$6:$H$2819,0),""),"")</f>
        <v/>
      </c>
      <c r="H2310" t="str">
        <f t="shared" si="35"/>
        <v/>
      </c>
    </row>
    <row r="2311" spans="1:8" ht="19.95" customHeight="1">
      <c r="A2311" s="5" t="str">
        <f>IF($G2311="","",INDEX('EDS Lookup'!$D$6:$D$2819,$G2311))</f>
        <v/>
      </c>
      <c r="B2311" s="5" t="str">
        <f>IF($G2311="","",INDEX('EDS Lookup'!$B$6:$B$2819,$G2311))</f>
        <v/>
      </c>
      <c r="C2311" s="17"/>
      <c r="D2311" s="6"/>
      <c r="E2311" s="7" t="str">
        <f>IF($G2311="","",INDEX('EDS Lookup'!$F$6:$F$2819,$G2311))</f>
        <v/>
      </c>
      <c r="F2311" s="8" t="str">
        <f>IF($G2311="","",INDEX('EDS Lookup'!$G$6:$G$2819,$G2311))</f>
        <v/>
      </c>
      <c r="G2311" t="str">
        <f>IF(2288&lt;=$B$4,IFERROR(MATCH(2288,'EDS Lookup'!$H$6:$H$2819,0),""),"")</f>
        <v/>
      </c>
      <c r="H2311" t="str">
        <f t="shared" si="35"/>
        <v/>
      </c>
    </row>
    <row r="2312" spans="1:8" ht="19.95" customHeight="1">
      <c r="A2312" s="5" t="str">
        <f>IF($G2312="","",INDEX('EDS Lookup'!$D$6:$D$2819,$G2312))</f>
        <v/>
      </c>
      <c r="B2312" s="5" t="str">
        <f>IF($G2312="","",INDEX('EDS Lookup'!$B$6:$B$2819,$G2312))</f>
        <v/>
      </c>
      <c r="C2312" s="17"/>
      <c r="D2312" s="6"/>
      <c r="E2312" s="7" t="str">
        <f>IF($G2312="","",INDEX('EDS Lookup'!$F$6:$F$2819,$G2312))</f>
        <v/>
      </c>
      <c r="F2312" s="8" t="str">
        <f>IF($G2312="","",INDEX('EDS Lookup'!$G$6:$G$2819,$G2312))</f>
        <v/>
      </c>
      <c r="G2312" t="str">
        <f>IF(2289&lt;=$B$4,IFERROR(MATCH(2289,'EDS Lookup'!$H$6:$H$2819,0),""),"")</f>
        <v/>
      </c>
      <c r="H2312" t="str">
        <f t="shared" si="35"/>
        <v/>
      </c>
    </row>
    <row r="2313" spans="1:8" ht="19.95" customHeight="1">
      <c r="A2313" s="5" t="str">
        <f>IF($G2313="","",INDEX('EDS Lookup'!$D$6:$D$2819,$G2313))</f>
        <v/>
      </c>
      <c r="B2313" s="5" t="str">
        <f>IF($G2313="","",INDEX('EDS Lookup'!$B$6:$B$2819,$G2313))</f>
        <v/>
      </c>
      <c r="C2313" s="17"/>
      <c r="D2313" s="6"/>
      <c r="E2313" s="7" t="str">
        <f>IF($G2313="","",INDEX('EDS Lookup'!$F$6:$F$2819,$G2313))</f>
        <v/>
      </c>
      <c r="F2313" s="8" t="str">
        <f>IF($G2313="","",INDEX('EDS Lookup'!$G$6:$G$2819,$G2313))</f>
        <v/>
      </c>
      <c r="G2313" t="str">
        <f>IF(2290&lt;=$B$4,IFERROR(MATCH(2290,'EDS Lookup'!$H$6:$H$2819,0),""),"")</f>
        <v/>
      </c>
      <c r="H2313" t="str">
        <f t="shared" si="35"/>
        <v/>
      </c>
    </row>
    <row r="2314" spans="1:8" ht="19.95" customHeight="1">
      <c r="A2314" s="5" t="str">
        <f>IF($G2314="","",INDEX('EDS Lookup'!$D$6:$D$2819,$G2314))</f>
        <v/>
      </c>
      <c r="B2314" s="5" t="str">
        <f>IF($G2314="","",INDEX('EDS Lookup'!$B$6:$B$2819,$G2314))</f>
        <v/>
      </c>
      <c r="C2314" s="17"/>
      <c r="D2314" s="6"/>
      <c r="E2314" s="7" t="str">
        <f>IF($G2314="","",INDEX('EDS Lookup'!$F$6:$F$2819,$G2314))</f>
        <v/>
      </c>
      <c r="F2314" s="8" t="str">
        <f>IF($G2314="","",INDEX('EDS Lookup'!$G$6:$G$2819,$G2314))</f>
        <v/>
      </c>
      <c r="G2314" t="str">
        <f>IF(2291&lt;=$B$4,IFERROR(MATCH(2291,'EDS Lookup'!$H$6:$H$2819,0),""),"")</f>
        <v/>
      </c>
      <c r="H2314" t="str">
        <f t="shared" si="35"/>
        <v/>
      </c>
    </row>
    <row r="2315" spans="1:8" ht="19.95" customHeight="1">
      <c r="A2315" s="5" t="str">
        <f>IF($G2315="","",INDEX('EDS Lookup'!$D$6:$D$2819,$G2315))</f>
        <v/>
      </c>
      <c r="B2315" s="5" t="str">
        <f>IF($G2315="","",INDEX('EDS Lookup'!$B$6:$B$2819,$G2315))</f>
        <v/>
      </c>
      <c r="C2315" s="17"/>
      <c r="D2315" s="6"/>
      <c r="E2315" s="7" t="str">
        <f>IF($G2315="","",INDEX('EDS Lookup'!$F$6:$F$2819,$G2315))</f>
        <v/>
      </c>
      <c r="F2315" s="8" t="str">
        <f>IF($G2315="","",INDEX('EDS Lookup'!$G$6:$G$2819,$G2315))</f>
        <v/>
      </c>
      <c r="G2315" t="str">
        <f>IF(2292&lt;=$B$4,IFERROR(MATCH(2292,'EDS Lookup'!$H$6:$H$2819,0),""),"")</f>
        <v/>
      </c>
      <c r="H2315" t="str">
        <f t="shared" si="35"/>
        <v/>
      </c>
    </row>
    <row r="2316" spans="1:8" ht="19.95" customHeight="1">
      <c r="A2316" s="5" t="str">
        <f>IF($G2316="","",INDEX('EDS Lookup'!$D$6:$D$2819,$G2316))</f>
        <v/>
      </c>
      <c r="B2316" s="5" t="str">
        <f>IF($G2316="","",INDEX('EDS Lookup'!$B$6:$B$2819,$G2316))</f>
        <v/>
      </c>
      <c r="C2316" s="17"/>
      <c r="D2316" s="6"/>
      <c r="E2316" s="7" t="str">
        <f>IF($G2316="","",INDEX('EDS Lookup'!$F$6:$F$2819,$G2316))</f>
        <v/>
      </c>
      <c r="F2316" s="8" t="str">
        <f>IF($G2316="","",INDEX('EDS Lookup'!$G$6:$G$2819,$G2316))</f>
        <v/>
      </c>
      <c r="G2316" t="str">
        <f>IF(2293&lt;=$B$4,IFERROR(MATCH(2293,'EDS Lookup'!$H$6:$H$2819,0),""),"")</f>
        <v/>
      </c>
      <c r="H2316" t="str">
        <f t="shared" si="35"/>
        <v/>
      </c>
    </row>
    <row r="2317" spans="1:8" ht="19.95" customHeight="1">
      <c r="A2317" s="5" t="str">
        <f>IF($G2317="","",INDEX('EDS Lookup'!$D$6:$D$2819,$G2317))</f>
        <v/>
      </c>
      <c r="B2317" s="5" t="str">
        <f>IF($G2317="","",INDEX('EDS Lookup'!$B$6:$B$2819,$G2317))</f>
        <v/>
      </c>
      <c r="C2317" s="17"/>
      <c r="D2317" s="6"/>
      <c r="E2317" s="7" t="str">
        <f>IF($G2317="","",INDEX('EDS Lookup'!$F$6:$F$2819,$G2317))</f>
        <v/>
      </c>
      <c r="F2317" s="8" t="str">
        <f>IF($G2317="","",INDEX('EDS Lookup'!$G$6:$G$2819,$G2317))</f>
        <v/>
      </c>
      <c r="G2317" t="str">
        <f>IF(2294&lt;=$B$4,IFERROR(MATCH(2294,'EDS Lookup'!$H$6:$H$2819,0),""),"")</f>
        <v/>
      </c>
      <c r="H2317" t="str">
        <f t="shared" si="35"/>
        <v/>
      </c>
    </row>
    <row r="2318" spans="1:8" ht="19.95" customHeight="1">
      <c r="A2318" s="5" t="str">
        <f>IF($G2318="","",INDEX('EDS Lookup'!$D$6:$D$2819,$G2318))</f>
        <v/>
      </c>
      <c r="B2318" s="5" t="str">
        <f>IF($G2318="","",INDEX('EDS Lookup'!$B$6:$B$2819,$G2318))</f>
        <v/>
      </c>
      <c r="C2318" s="17"/>
      <c r="D2318" s="6"/>
      <c r="E2318" s="7" t="str">
        <f>IF($G2318="","",INDEX('EDS Lookup'!$F$6:$F$2819,$G2318))</f>
        <v/>
      </c>
      <c r="F2318" s="8" t="str">
        <f>IF($G2318="","",INDEX('EDS Lookup'!$G$6:$G$2819,$G2318))</f>
        <v/>
      </c>
      <c r="G2318" t="str">
        <f>IF(2295&lt;=$B$4,IFERROR(MATCH(2295,'EDS Lookup'!$H$6:$H$2819,0),""),"")</f>
        <v/>
      </c>
      <c r="H2318" t="str">
        <f t="shared" si="35"/>
        <v/>
      </c>
    </row>
    <row r="2319" spans="1:8" ht="19.95" customHeight="1">
      <c r="A2319" s="5" t="str">
        <f>IF($G2319="","",INDEX('EDS Lookup'!$D$6:$D$2819,$G2319))</f>
        <v/>
      </c>
      <c r="B2319" s="5" t="str">
        <f>IF($G2319="","",INDEX('EDS Lookup'!$B$6:$B$2819,$G2319))</f>
        <v/>
      </c>
      <c r="C2319" s="17"/>
      <c r="D2319" s="6"/>
      <c r="E2319" s="7" t="str">
        <f>IF($G2319="","",INDEX('EDS Lookup'!$F$6:$F$2819,$G2319))</f>
        <v/>
      </c>
      <c r="F2319" s="8" t="str">
        <f>IF($G2319="","",INDEX('EDS Lookup'!$G$6:$G$2819,$G2319))</f>
        <v/>
      </c>
      <c r="G2319" t="str">
        <f>IF(2296&lt;=$B$4,IFERROR(MATCH(2296,'EDS Lookup'!$H$6:$H$2819,0),""),"")</f>
        <v/>
      </c>
      <c r="H2319" t="str">
        <f t="shared" si="35"/>
        <v/>
      </c>
    </row>
    <row r="2320" spans="1:8" ht="19.95" customHeight="1">
      <c r="A2320" s="5" t="str">
        <f>IF($G2320="","",INDEX('EDS Lookup'!$D$6:$D$2819,$G2320))</f>
        <v/>
      </c>
      <c r="B2320" s="5" t="str">
        <f>IF($G2320="","",INDEX('EDS Lookup'!$B$6:$B$2819,$G2320))</f>
        <v/>
      </c>
      <c r="C2320" s="17"/>
      <c r="D2320" s="6"/>
      <c r="E2320" s="7" t="str">
        <f>IF($G2320="","",INDEX('EDS Lookup'!$F$6:$F$2819,$G2320))</f>
        <v/>
      </c>
      <c r="F2320" s="8" t="str">
        <f>IF($G2320="","",INDEX('EDS Lookup'!$G$6:$G$2819,$G2320))</f>
        <v/>
      </c>
      <c r="G2320" t="str">
        <f>IF(2297&lt;=$B$4,IFERROR(MATCH(2297,'EDS Lookup'!$H$6:$H$2819,0),""),"")</f>
        <v/>
      </c>
      <c r="H2320" t="str">
        <f t="shared" si="35"/>
        <v/>
      </c>
    </row>
    <row r="2321" spans="1:8" ht="19.95" customHeight="1">
      <c r="A2321" s="5" t="str">
        <f>IF($G2321="","",INDEX('EDS Lookup'!$D$6:$D$2819,$G2321))</f>
        <v/>
      </c>
      <c r="B2321" s="5" t="str">
        <f>IF($G2321="","",INDEX('EDS Lookup'!$B$6:$B$2819,$G2321))</f>
        <v/>
      </c>
      <c r="C2321" s="17"/>
      <c r="D2321" s="6"/>
      <c r="E2321" s="7" t="str">
        <f>IF($G2321="","",INDEX('EDS Lookup'!$F$6:$F$2819,$G2321))</f>
        <v/>
      </c>
      <c r="F2321" s="8" t="str">
        <f>IF($G2321="","",INDEX('EDS Lookup'!$G$6:$G$2819,$G2321))</f>
        <v/>
      </c>
      <c r="G2321" t="str">
        <f>IF(2298&lt;=$B$4,IFERROR(MATCH(2298,'EDS Lookup'!$H$6:$H$2819,0),""),"")</f>
        <v/>
      </c>
      <c r="H2321" t="str">
        <f t="shared" si="35"/>
        <v/>
      </c>
    </row>
    <row r="2322" spans="1:8" ht="19.95" customHeight="1">
      <c r="A2322" s="5" t="str">
        <f>IF($G2322="","",INDEX('EDS Lookup'!$D$6:$D$2819,$G2322))</f>
        <v/>
      </c>
      <c r="B2322" s="5" t="str">
        <f>IF($G2322="","",INDEX('EDS Lookup'!$B$6:$B$2819,$G2322))</f>
        <v/>
      </c>
      <c r="C2322" s="17"/>
      <c r="D2322" s="6"/>
      <c r="E2322" s="7" t="str">
        <f>IF($G2322="","",INDEX('EDS Lookup'!$F$6:$F$2819,$G2322))</f>
        <v/>
      </c>
      <c r="F2322" s="8" t="str">
        <f>IF($G2322="","",INDEX('EDS Lookup'!$G$6:$G$2819,$G2322))</f>
        <v/>
      </c>
      <c r="G2322" t="str">
        <f>IF(2299&lt;=$B$4,IFERROR(MATCH(2299,'EDS Lookup'!$H$6:$H$2819,0),""),"")</f>
        <v/>
      </c>
      <c r="H2322" t="str">
        <f t="shared" si="35"/>
        <v/>
      </c>
    </row>
    <row r="2323" spans="1:8" ht="19.95" customHeight="1">
      <c r="A2323" s="5" t="str">
        <f>IF($G2323="","",INDEX('EDS Lookup'!$D$6:$D$2819,$G2323))</f>
        <v/>
      </c>
      <c r="B2323" s="5" t="str">
        <f>IF($G2323="","",INDEX('EDS Lookup'!$B$6:$B$2819,$G2323))</f>
        <v/>
      </c>
      <c r="C2323" s="17"/>
      <c r="D2323" s="6"/>
      <c r="E2323" s="7" t="str">
        <f>IF($G2323="","",INDEX('EDS Lookup'!$F$6:$F$2819,$G2323))</f>
        <v/>
      </c>
      <c r="F2323" s="8" t="str">
        <f>IF($G2323="","",INDEX('EDS Lookup'!$G$6:$G$2819,$G2323))</f>
        <v/>
      </c>
      <c r="G2323" t="str">
        <f>IF(2300&lt;=$B$4,IFERROR(MATCH(2300,'EDS Lookup'!$H$6:$H$2819,0),""),"")</f>
        <v/>
      </c>
      <c r="H2323" t="str">
        <f t="shared" si="35"/>
        <v/>
      </c>
    </row>
    <row r="2324" spans="1:8" ht="19.95" customHeight="1">
      <c r="A2324" s="5" t="str">
        <f>IF($G2324="","",INDEX('EDS Lookup'!$D$6:$D$2819,$G2324))</f>
        <v/>
      </c>
      <c r="B2324" s="5" t="str">
        <f>IF($G2324="","",INDEX('EDS Lookup'!$B$6:$B$2819,$G2324))</f>
        <v/>
      </c>
      <c r="C2324" s="17"/>
      <c r="D2324" s="6"/>
      <c r="E2324" s="7" t="str">
        <f>IF($G2324="","",INDEX('EDS Lookup'!$F$6:$F$2819,$G2324))</f>
        <v/>
      </c>
      <c r="F2324" s="8" t="str">
        <f>IF($G2324="","",INDEX('EDS Lookup'!$G$6:$G$2819,$G2324))</f>
        <v/>
      </c>
      <c r="G2324" t="str">
        <f>IF(2301&lt;=$B$4,IFERROR(MATCH(2301,'EDS Lookup'!$H$6:$H$2819,0),""),"")</f>
        <v/>
      </c>
      <c r="H2324" t="str">
        <f t="shared" si="35"/>
        <v/>
      </c>
    </row>
    <row r="2325" spans="1:8" ht="19.95" customHeight="1">
      <c r="A2325" s="5" t="str">
        <f>IF($G2325="","",INDEX('EDS Lookup'!$D$6:$D$2819,$G2325))</f>
        <v/>
      </c>
      <c r="B2325" s="5" t="str">
        <f>IF($G2325="","",INDEX('EDS Lookup'!$B$6:$B$2819,$G2325))</f>
        <v/>
      </c>
      <c r="C2325" s="17"/>
      <c r="D2325" s="6"/>
      <c r="E2325" s="7" t="str">
        <f>IF($G2325="","",INDEX('EDS Lookup'!$F$6:$F$2819,$G2325))</f>
        <v/>
      </c>
      <c r="F2325" s="8" t="str">
        <f>IF($G2325="","",INDEX('EDS Lookup'!$G$6:$G$2819,$G2325))</f>
        <v/>
      </c>
      <c r="G2325" t="str">
        <f>IF(2302&lt;=$B$4,IFERROR(MATCH(2302,'EDS Lookup'!$H$6:$H$2819,0),""),"")</f>
        <v/>
      </c>
      <c r="H2325" t="str">
        <f t="shared" si="35"/>
        <v/>
      </c>
    </row>
    <row r="2326" spans="1:8" ht="19.95" customHeight="1">
      <c r="A2326" s="5" t="str">
        <f>IF($G2326="","",INDEX('EDS Lookup'!$D$6:$D$2819,$G2326))</f>
        <v/>
      </c>
      <c r="B2326" s="5" t="str">
        <f>IF($G2326="","",INDEX('EDS Lookup'!$B$6:$B$2819,$G2326))</f>
        <v/>
      </c>
      <c r="C2326" s="17"/>
      <c r="D2326" s="6"/>
      <c r="E2326" s="7" t="str">
        <f>IF($G2326="","",INDEX('EDS Lookup'!$F$6:$F$2819,$G2326))</f>
        <v/>
      </c>
      <c r="F2326" s="8" t="str">
        <f>IF($G2326="","",INDEX('EDS Lookup'!$G$6:$G$2819,$G2326))</f>
        <v/>
      </c>
      <c r="G2326" t="str">
        <f>IF(2303&lt;=$B$4,IFERROR(MATCH(2303,'EDS Lookup'!$H$6:$H$2819,0),""),"")</f>
        <v/>
      </c>
      <c r="H2326" t="str">
        <f t="shared" si="35"/>
        <v/>
      </c>
    </row>
    <row r="2327" spans="1:8" ht="19.95" customHeight="1">
      <c r="A2327" s="5" t="str">
        <f>IF($G2327="","",INDEX('EDS Lookup'!$D$6:$D$2819,$G2327))</f>
        <v/>
      </c>
      <c r="B2327" s="5" t="str">
        <f>IF($G2327="","",INDEX('EDS Lookup'!$B$6:$B$2819,$G2327))</f>
        <v/>
      </c>
      <c r="C2327" s="17"/>
      <c r="D2327" s="6"/>
      <c r="E2327" s="7" t="str">
        <f>IF($G2327="","",INDEX('EDS Lookup'!$F$6:$F$2819,$G2327))</f>
        <v/>
      </c>
      <c r="F2327" s="8" t="str">
        <f>IF($G2327="","",INDEX('EDS Lookup'!$G$6:$G$2819,$G2327))</f>
        <v/>
      </c>
      <c r="G2327" t="str">
        <f>IF(2304&lt;=$B$4,IFERROR(MATCH(2304,'EDS Lookup'!$H$6:$H$2819,0),""),"")</f>
        <v/>
      </c>
      <c r="H2327" t="str">
        <f t="shared" si="35"/>
        <v/>
      </c>
    </row>
    <row r="2328" spans="1:8" ht="19.95" customHeight="1">
      <c r="A2328" s="5" t="str">
        <f>IF($G2328="","",INDEX('EDS Lookup'!$D$6:$D$2819,$G2328))</f>
        <v/>
      </c>
      <c r="B2328" s="5" t="str">
        <f>IF($G2328="","",INDEX('EDS Lookup'!$B$6:$B$2819,$G2328))</f>
        <v/>
      </c>
      <c r="C2328" s="17"/>
      <c r="D2328" s="6"/>
      <c r="E2328" s="7" t="str">
        <f>IF($G2328="","",INDEX('EDS Lookup'!$F$6:$F$2819,$G2328))</f>
        <v/>
      </c>
      <c r="F2328" s="8" t="str">
        <f>IF($G2328="","",INDEX('EDS Lookup'!$G$6:$G$2819,$G2328))</f>
        <v/>
      </c>
      <c r="G2328" t="str">
        <f>IF(2305&lt;=$B$4,IFERROR(MATCH(2305,'EDS Lookup'!$H$6:$H$2819,0),""),"")</f>
        <v/>
      </c>
      <c r="H2328" t="str">
        <f t="shared" ref="H2328:H2391" si="36">IF(F2328="&lt;5",5,IF(F2328="&gt;95",95,IF(ISNUMBER(F2328),F2328,"")))</f>
        <v/>
      </c>
    </row>
    <row r="2329" spans="1:8" ht="19.95" customHeight="1">
      <c r="A2329" s="5" t="str">
        <f>IF($G2329="","",INDEX('EDS Lookup'!$D$6:$D$2819,$G2329))</f>
        <v/>
      </c>
      <c r="B2329" s="5" t="str">
        <f>IF($G2329="","",INDEX('EDS Lookup'!$B$6:$B$2819,$G2329))</f>
        <v/>
      </c>
      <c r="C2329" s="17"/>
      <c r="D2329" s="6"/>
      <c r="E2329" s="7" t="str">
        <f>IF($G2329="","",INDEX('EDS Lookup'!$F$6:$F$2819,$G2329))</f>
        <v/>
      </c>
      <c r="F2329" s="8" t="str">
        <f>IF($G2329="","",INDEX('EDS Lookup'!$G$6:$G$2819,$G2329))</f>
        <v/>
      </c>
      <c r="G2329" t="str">
        <f>IF(2306&lt;=$B$4,IFERROR(MATCH(2306,'EDS Lookup'!$H$6:$H$2819,0),""),"")</f>
        <v/>
      </c>
      <c r="H2329" t="str">
        <f t="shared" si="36"/>
        <v/>
      </c>
    </row>
    <row r="2330" spans="1:8" ht="19.95" customHeight="1">
      <c r="A2330" s="5" t="str">
        <f>IF($G2330="","",INDEX('EDS Lookup'!$D$6:$D$2819,$G2330))</f>
        <v/>
      </c>
      <c r="B2330" s="5" t="str">
        <f>IF($G2330="","",INDEX('EDS Lookup'!$B$6:$B$2819,$G2330))</f>
        <v/>
      </c>
      <c r="C2330" s="17"/>
      <c r="D2330" s="6"/>
      <c r="E2330" s="7" t="str">
        <f>IF($G2330="","",INDEX('EDS Lookup'!$F$6:$F$2819,$G2330))</f>
        <v/>
      </c>
      <c r="F2330" s="8" t="str">
        <f>IF($G2330="","",INDEX('EDS Lookup'!$G$6:$G$2819,$G2330))</f>
        <v/>
      </c>
      <c r="G2330" t="str">
        <f>IF(2307&lt;=$B$4,IFERROR(MATCH(2307,'EDS Lookup'!$H$6:$H$2819,0),""),"")</f>
        <v/>
      </c>
      <c r="H2330" t="str">
        <f t="shared" si="36"/>
        <v/>
      </c>
    </row>
    <row r="2331" spans="1:8" ht="19.95" customHeight="1">
      <c r="A2331" s="5" t="str">
        <f>IF($G2331="","",INDEX('EDS Lookup'!$D$6:$D$2819,$G2331))</f>
        <v/>
      </c>
      <c r="B2331" s="5" t="str">
        <f>IF($G2331="","",INDEX('EDS Lookup'!$B$6:$B$2819,$G2331))</f>
        <v/>
      </c>
      <c r="C2331" s="17"/>
      <c r="D2331" s="6"/>
      <c r="E2331" s="7" t="str">
        <f>IF($G2331="","",INDEX('EDS Lookup'!$F$6:$F$2819,$G2331))</f>
        <v/>
      </c>
      <c r="F2331" s="8" t="str">
        <f>IF($G2331="","",INDEX('EDS Lookup'!$G$6:$G$2819,$G2331))</f>
        <v/>
      </c>
      <c r="G2331" t="str">
        <f>IF(2308&lt;=$B$4,IFERROR(MATCH(2308,'EDS Lookup'!$H$6:$H$2819,0),""),"")</f>
        <v/>
      </c>
      <c r="H2331" t="str">
        <f t="shared" si="36"/>
        <v/>
      </c>
    </row>
    <row r="2332" spans="1:8" ht="19.95" customHeight="1">
      <c r="A2332" s="5" t="str">
        <f>IF($G2332="","",INDEX('EDS Lookup'!$D$6:$D$2819,$G2332))</f>
        <v/>
      </c>
      <c r="B2332" s="5" t="str">
        <f>IF($G2332="","",INDEX('EDS Lookup'!$B$6:$B$2819,$G2332))</f>
        <v/>
      </c>
      <c r="C2332" s="17"/>
      <c r="D2332" s="6"/>
      <c r="E2332" s="7" t="str">
        <f>IF($G2332="","",INDEX('EDS Lookup'!$F$6:$F$2819,$G2332))</f>
        <v/>
      </c>
      <c r="F2332" s="8" t="str">
        <f>IF($G2332="","",INDEX('EDS Lookup'!$G$6:$G$2819,$G2332))</f>
        <v/>
      </c>
      <c r="G2332" t="str">
        <f>IF(2309&lt;=$B$4,IFERROR(MATCH(2309,'EDS Lookup'!$H$6:$H$2819,0),""),"")</f>
        <v/>
      </c>
      <c r="H2332" t="str">
        <f t="shared" si="36"/>
        <v/>
      </c>
    </row>
    <row r="2333" spans="1:8" ht="19.95" customHeight="1">
      <c r="A2333" s="5" t="str">
        <f>IF($G2333="","",INDEX('EDS Lookup'!$D$6:$D$2819,$G2333))</f>
        <v/>
      </c>
      <c r="B2333" s="5" t="str">
        <f>IF($G2333="","",INDEX('EDS Lookup'!$B$6:$B$2819,$G2333))</f>
        <v/>
      </c>
      <c r="C2333" s="17"/>
      <c r="D2333" s="6"/>
      <c r="E2333" s="7" t="str">
        <f>IF($G2333="","",INDEX('EDS Lookup'!$F$6:$F$2819,$G2333))</f>
        <v/>
      </c>
      <c r="F2333" s="8" t="str">
        <f>IF($G2333="","",INDEX('EDS Lookup'!$G$6:$G$2819,$G2333))</f>
        <v/>
      </c>
      <c r="G2333" t="str">
        <f>IF(2310&lt;=$B$4,IFERROR(MATCH(2310,'EDS Lookup'!$H$6:$H$2819,0),""),"")</f>
        <v/>
      </c>
      <c r="H2333" t="str">
        <f t="shared" si="36"/>
        <v/>
      </c>
    </row>
    <row r="2334" spans="1:8" ht="19.95" customHeight="1">
      <c r="A2334" s="5" t="str">
        <f>IF($G2334="","",INDEX('EDS Lookup'!$D$6:$D$2819,$G2334))</f>
        <v/>
      </c>
      <c r="B2334" s="5" t="str">
        <f>IF($G2334="","",INDEX('EDS Lookup'!$B$6:$B$2819,$G2334))</f>
        <v/>
      </c>
      <c r="C2334" s="17"/>
      <c r="D2334" s="6"/>
      <c r="E2334" s="7" t="str">
        <f>IF($G2334="","",INDEX('EDS Lookup'!$F$6:$F$2819,$G2334))</f>
        <v/>
      </c>
      <c r="F2334" s="8" t="str">
        <f>IF($G2334="","",INDEX('EDS Lookup'!$G$6:$G$2819,$G2334))</f>
        <v/>
      </c>
      <c r="G2334" t="str">
        <f>IF(2311&lt;=$B$4,IFERROR(MATCH(2311,'EDS Lookup'!$H$6:$H$2819,0),""),"")</f>
        <v/>
      </c>
      <c r="H2334" t="str">
        <f t="shared" si="36"/>
        <v/>
      </c>
    </row>
    <row r="2335" spans="1:8" ht="19.95" customHeight="1">
      <c r="A2335" s="5" t="str">
        <f>IF($G2335="","",INDEX('EDS Lookup'!$D$6:$D$2819,$G2335))</f>
        <v/>
      </c>
      <c r="B2335" s="5" t="str">
        <f>IF($G2335="","",INDEX('EDS Lookup'!$B$6:$B$2819,$G2335))</f>
        <v/>
      </c>
      <c r="C2335" s="17"/>
      <c r="D2335" s="6"/>
      <c r="E2335" s="7" t="str">
        <f>IF($G2335="","",INDEX('EDS Lookup'!$F$6:$F$2819,$G2335))</f>
        <v/>
      </c>
      <c r="F2335" s="8" t="str">
        <f>IF($G2335="","",INDEX('EDS Lookup'!$G$6:$G$2819,$G2335))</f>
        <v/>
      </c>
      <c r="G2335" t="str">
        <f>IF(2312&lt;=$B$4,IFERROR(MATCH(2312,'EDS Lookup'!$H$6:$H$2819,0),""),"")</f>
        <v/>
      </c>
      <c r="H2335" t="str">
        <f t="shared" si="36"/>
        <v/>
      </c>
    </row>
    <row r="2336" spans="1:8" ht="19.95" customHeight="1">
      <c r="A2336" s="5" t="str">
        <f>IF($G2336="","",INDEX('EDS Lookup'!$D$6:$D$2819,$G2336))</f>
        <v/>
      </c>
      <c r="B2336" s="5" t="str">
        <f>IF($G2336="","",INDEX('EDS Lookup'!$B$6:$B$2819,$G2336))</f>
        <v/>
      </c>
      <c r="C2336" s="17"/>
      <c r="D2336" s="6"/>
      <c r="E2336" s="7" t="str">
        <f>IF($G2336="","",INDEX('EDS Lookup'!$F$6:$F$2819,$G2336))</f>
        <v/>
      </c>
      <c r="F2336" s="8" t="str">
        <f>IF($G2336="","",INDEX('EDS Lookup'!$G$6:$G$2819,$G2336))</f>
        <v/>
      </c>
      <c r="G2336" t="str">
        <f>IF(2313&lt;=$B$4,IFERROR(MATCH(2313,'EDS Lookup'!$H$6:$H$2819,0),""),"")</f>
        <v/>
      </c>
      <c r="H2336" t="str">
        <f t="shared" si="36"/>
        <v/>
      </c>
    </row>
    <row r="2337" spans="1:8" ht="19.95" customHeight="1">
      <c r="A2337" s="5" t="str">
        <f>IF($G2337="","",INDEX('EDS Lookup'!$D$6:$D$2819,$G2337))</f>
        <v/>
      </c>
      <c r="B2337" s="5" t="str">
        <f>IF($G2337="","",INDEX('EDS Lookup'!$B$6:$B$2819,$G2337))</f>
        <v/>
      </c>
      <c r="C2337" s="17"/>
      <c r="D2337" s="6"/>
      <c r="E2337" s="7" t="str">
        <f>IF($G2337="","",INDEX('EDS Lookup'!$F$6:$F$2819,$G2337))</f>
        <v/>
      </c>
      <c r="F2337" s="8" t="str">
        <f>IF($G2337="","",INDEX('EDS Lookup'!$G$6:$G$2819,$G2337))</f>
        <v/>
      </c>
      <c r="G2337" t="str">
        <f>IF(2314&lt;=$B$4,IFERROR(MATCH(2314,'EDS Lookup'!$H$6:$H$2819,0),""),"")</f>
        <v/>
      </c>
      <c r="H2337" t="str">
        <f t="shared" si="36"/>
        <v/>
      </c>
    </row>
    <row r="2338" spans="1:8" ht="19.95" customHeight="1">
      <c r="A2338" s="5" t="str">
        <f>IF($G2338="","",INDEX('EDS Lookup'!$D$6:$D$2819,$G2338))</f>
        <v/>
      </c>
      <c r="B2338" s="5" t="str">
        <f>IF($G2338="","",INDEX('EDS Lookup'!$B$6:$B$2819,$G2338))</f>
        <v/>
      </c>
      <c r="C2338" s="17"/>
      <c r="D2338" s="6"/>
      <c r="E2338" s="7" t="str">
        <f>IF($G2338="","",INDEX('EDS Lookup'!$F$6:$F$2819,$G2338))</f>
        <v/>
      </c>
      <c r="F2338" s="8" t="str">
        <f>IF($G2338="","",INDEX('EDS Lookup'!$G$6:$G$2819,$G2338))</f>
        <v/>
      </c>
      <c r="G2338" t="str">
        <f>IF(2315&lt;=$B$4,IFERROR(MATCH(2315,'EDS Lookup'!$H$6:$H$2819,0),""),"")</f>
        <v/>
      </c>
      <c r="H2338" t="str">
        <f t="shared" si="36"/>
        <v/>
      </c>
    </row>
    <row r="2339" spans="1:8" ht="19.95" customHeight="1">
      <c r="A2339" s="5" t="str">
        <f>IF($G2339="","",INDEX('EDS Lookup'!$D$6:$D$2819,$G2339))</f>
        <v/>
      </c>
      <c r="B2339" s="5" t="str">
        <f>IF($G2339="","",INDEX('EDS Lookup'!$B$6:$B$2819,$G2339))</f>
        <v/>
      </c>
      <c r="C2339" s="17"/>
      <c r="D2339" s="6"/>
      <c r="E2339" s="7" t="str">
        <f>IF($G2339="","",INDEX('EDS Lookup'!$F$6:$F$2819,$G2339))</f>
        <v/>
      </c>
      <c r="F2339" s="8" t="str">
        <f>IF($G2339="","",INDEX('EDS Lookup'!$G$6:$G$2819,$G2339))</f>
        <v/>
      </c>
      <c r="G2339" t="str">
        <f>IF(2316&lt;=$B$4,IFERROR(MATCH(2316,'EDS Lookup'!$H$6:$H$2819,0),""),"")</f>
        <v/>
      </c>
      <c r="H2339" t="str">
        <f t="shared" si="36"/>
        <v/>
      </c>
    </row>
    <row r="2340" spans="1:8" ht="19.95" customHeight="1">
      <c r="A2340" s="5" t="str">
        <f>IF($G2340="","",INDEX('EDS Lookup'!$D$6:$D$2819,$G2340))</f>
        <v/>
      </c>
      <c r="B2340" s="5" t="str">
        <f>IF($G2340="","",INDEX('EDS Lookup'!$B$6:$B$2819,$G2340))</f>
        <v/>
      </c>
      <c r="C2340" s="17"/>
      <c r="D2340" s="6"/>
      <c r="E2340" s="7" t="str">
        <f>IF($G2340="","",INDEX('EDS Lookup'!$F$6:$F$2819,$G2340))</f>
        <v/>
      </c>
      <c r="F2340" s="8" t="str">
        <f>IF($G2340="","",INDEX('EDS Lookup'!$G$6:$G$2819,$G2340))</f>
        <v/>
      </c>
      <c r="G2340" t="str">
        <f>IF(2317&lt;=$B$4,IFERROR(MATCH(2317,'EDS Lookup'!$H$6:$H$2819,0),""),"")</f>
        <v/>
      </c>
      <c r="H2340" t="str">
        <f t="shared" si="36"/>
        <v/>
      </c>
    </row>
    <row r="2341" spans="1:8" ht="19.95" customHeight="1">
      <c r="A2341" s="5" t="str">
        <f>IF($G2341="","",INDEX('EDS Lookup'!$D$6:$D$2819,$G2341))</f>
        <v/>
      </c>
      <c r="B2341" s="5" t="str">
        <f>IF($G2341="","",INDEX('EDS Lookup'!$B$6:$B$2819,$G2341))</f>
        <v/>
      </c>
      <c r="C2341" s="17"/>
      <c r="D2341" s="6"/>
      <c r="E2341" s="7" t="str">
        <f>IF($G2341="","",INDEX('EDS Lookup'!$F$6:$F$2819,$G2341))</f>
        <v/>
      </c>
      <c r="F2341" s="8" t="str">
        <f>IF($G2341="","",INDEX('EDS Lookup'!$G$6:$G$2819,$G2341))</f>
        <v/>
      </c>
      <c r="G2341" t="str">
        <f>IF(2318&lt;=$B$4,IFERROR(MATCH(2318,'EDS Lookup'!$H$6:$H$2819,0),""),"")</f>
        <v/>
      </c>
      <c r="H2341" t="str">
        <f t="shared" si="36"/>
        <v/>
      </c>
    </row>
    <row r="2342" spans="1:8" ht="19.95" customHeight="1">
      <c r="A2342" s="5" t="str">
        <f>IF($G2342="","",INDEX('EDS Lookup'!$D$6:$D$2819,$G2342))</f>
        <v/>
      </c>
      <c r="B2342" s="5" t="str">
        <f>IF($G2342="","",INDEX('EDS Lookup'!$B$6:$B$2819,$G2342))</f>
        <v/>
      </c>
      <c r="C2342" s="17"/>
      <c r="D2342" s="6"/>
      <c r="E2342" s="7" t="str">
        <f>IF($G2342="","",INDEX('EDS Lookup'!$F$6:$F$2819,$G2342))</f>
        <v/>
      </c>
      <c r="F2342" s="8" t="str">
        <f>IF($G2342="","",INDEX('EDS Lookup'!$G$6:$G$2819,$G2342))</f>
        <v/>
      </c>
      <c r="G2342" t="str">
        <f>IF(2319&lt;=$B$4,IFERROR(MATCH(2319,'EDS Lookup'!$H$6:$H$2819,0),""),"")</f>
        <v/>
      </c>
      <c r="H2342" t="str">
        <f t="shared" si="36"/>
        <v/>
      </c>
    </row>
    <row r="2343" spans="1:8" ht="19.95" customHeight="1">
      <c r="A2343" s="5" t="str">
        <f>IF($G2343="","",INDEX('EDS Lookup'!$D$6:$D$2819,$G2343))</f>
        <v/>
      </c>
      <c r="B2343" s="5" t="str">
        <f>IF($G2343="","",INDEX('EDS Lookup'!$B$6:$B$2819,$G2343))</f>
        <v/>
      </c>
      <c r="C2343" s="17"/>
      <c r="D2343" s="6"/>
      <c r="E2343" s="7" t="str">
        <f>IF($G2343="","",INDEX('EDS Lookup'!$F$6:$F$2819,$G2343))</f>
        <v/>
      </c>
      <c r="F2343" s="8" t="str">
        <f>IF($G2343="","",INDEX('EDS Lookup'!$G$6:$G$2819,$G2343))</f>
        <v/>
      </c>
      <c r="G2343" t="str">
        <f>IF(2320&lt;=$B$4,IFERROR(MATCH(2320,'EDS Lookup'!$H$6:$H$2819,0),""),"")</f>
        <v/>
      </c>
      <c r="H2343" t="str">
        <f t="shared" si="36"/>
        <v/>
      </c>
    </row>
    <row r="2344" spans="1:8" ht="19.95" customHeight="1">
      <c r="A2344" s="5" t="str">
        <f>IF($G2344="","",INDEX('EDS Lookup'!$D$6:$D$2819,$G2344))</f>
        <v/>
      </c>
      <c r="B2344" s="5" t="str">
        <f>IF($G2344="","",INDEX('EDS Lookup'!$B$6:$B$2819,$G2344))</f>
        <v/>
      </c>
      <c r="C2344" s="17"/>
      <c r="D2344" s="6"/>
      <c r="E2344" s="7" t="str">
        <f>IF($G2344="","",INDEX('EDS Lookup'!$F$6:$F$2819,$G2344))</f>
        <v/>
      </c>
      <c r="F2344" s="8" t="str">
        <f>IF($G2344="","",INDEX('EDS Lookup'!$G$6:$G$2819,$G2344))</f>
        <v/>
      </c>
      <c r="G2344" t="str">
        <f>IF(2321&lt;=$B$4,IFERROR(MATCH(2321,'EDS Lookup'!$H$6:$H$2819,0),""),"")</f>
        <v/>
      </c>
      <c r="H2344" t="str">
        <f t="shared" si="36"/>
        <v/>
      </c>
    </row>
    <row r="2345" spans="1:8" ht="19.95" customHeight="1">
      <c r="A2345" s="5" t="str">
        <f>IF($G2345="","",INDEX('EDS Lookup'!$D$6:$D$2819,$G2345))</f>
        <v/>
      </c>
      <c r="B2345" s="5" t="str">
        <f>IF($G2345="","",INDEX('EDS Lookup'!$B$6:$B$2819,$G2345))</f>
        <v/>
      </c>
      <c r="C2345" s="17"/>
      <c r="D2345" s="6"/>
      <c r="E2345" s="7" t="str">
        <f>IF($G2345="","",INDEX('EDS Lookup'!$F$6:$F$2819,$G2345))</f>
        <v/>
      </c>
      <c r="F2345" s="8" t="str">
        <f>IF($G2345="","",INDEX('EDS Lookup'!$G$6:$G$2819,$G2345))</f>
        <v/>
      </c>
      <c r="G2345" t="str">
        <f>IF(2322&lt;=$B$4,IFERROR(MATCH(2322,'EDS Lookup'!$H$6:$H$2819,0),""),"")</f>
        <v/>
      </c>
      <c r="H2345" t="str">
        <f t="shared" si="36"/>
        <v/>
      </c>
    </row>
    <row r="2346" spans="1:8" ht="19.95" customHeight="1">
      <c r="A2346" s="5" t="str">
        <f>IF($G2346="","",INDEX('EDS Lookup'!$D$6:$D$2819,$G2346))</f>
        <v/>
      </c>
      <c r="B2346" s="5" t="str">
        <f>IF($G2346="","",INDEX('EDS Lookup'!$B$6:$B$2819,$G2346))</f>
        <v/>
      </c>
      <c r="C2346" s="17"/>
      <c r="D2346" s="6"/>
      <c r="E2346" s="7" t="str">
        <f>IF($G2346="","",INDEX('EDS Lookup'!$F$6:$F$2819,$G2346))</f>
        <v/>
      </c>
      <c r="F2346" s="8" t="str">
        <f>IF($G2346="","",INDEX('EDS Lookup'!$G$6:$G$2819,$G2346))</f>
        <v/>
      </c>
      <c r="G2346" t="str">
        <f>IF(2323&lt;=$B$4,IFERROR(MATCH(2323,'EDS Lookup'!$H$6:$H$2819,0),""),"")</f>
        <v/>
      </c>
      <c r="H2346" t="str">
        <f t="shared" si="36"/>
        <v/>
      </c>
    </row>
    <row r="2347" spans="1:8" ht="19.95" customHeight="1">
      <c r="A2347" s="5" t="str">
        <f>IF($G2347="","",INDEX('EDS Lookup'!$D$6:$D$2819,$G2347))</f>
        <v/>
      </c>
      <c r="B2347" s="5" t="str">
        <f>IF($G2347="","",INDEX('EDS Lookup'!$B$6:$B$2819,$G2347))</f>
        <v/>
      </c>
      <c r="C2347" s="17"/>
      <c r="D2347" s="6"/>
      <c r="E2347" s="7" t="str">
        <f>IF($G2347="","",INDEX('EDS Lookup'!$F$6:$F$2819,$G2347))</f>
        <v/>
      </c>
      <c r="F2347" s="8" t="str">
        <f>IF($G2347="","",INDEX('EDS Lookup'!$G$6:$G$2819,$G2347))</f>
        <v/>
      </c>
      <c r="G2347" t="str">
        <f>IF(2324&lt;=$B$4,IFERROR(MATCH(2324,'EDS Lookup'!$H$6:$H$2819,0),""),"")</f>
        <v/>
      </c>
      <c r="H2347" t="str">
        <f t="shared" si="36"/>
        <v/>
      </c>
    </row>
    <row r="2348" spans="1:8" ht="19.95" customHeight="1">
      <c r="A2348" s="5" t="str">
        <f>IF($G2348="","",INDEX('EDS Lookup'!$D$6:$D$2819,$G2348))</f>
        <v/>
      </c>
      <c r="B2348" s="5" t="str">
        <f>IF($G2348="","",INDEX('EDS Lookup'!$B$6:$B$2819,$G2348))</f>
        <v/>
      </c>
      <c r="C2348" s="17"/>
      <c r="D2348" s="6"/>
      <c r="E2348" s="7" t="str">
        <f>IF($G2348="","",INDEX('EDS Lookup'!$F$6:$F$2819,$G2348))</f>
        <v/>
      </c>
      <c r="F2348" s="8" t="str">
        <f>IF($G2348="","",INDEX('EDS Lookup'!$G$6:$G$2819,$G2348))</f>
        <v/>
      </c>
      <c r="G2348" t="str">
        <f>IF(2325&lt;=$B$4,IFERROR(MATCH(2325,'EDS Lookup'!$H$6:$H$2819,0),""),"")</f>
        <v/>
      </c>
      <c r="H2348" t="str">
        <f t="shared" si="36"/>
        <v/>
      </c>
    </row>
    <row r="2349" spans="1:8" ht="19.95" customHeight="1">
      <c r="A2349" s="5" t="str">
        <f>IF($G2349="","",INDEX('EDS Lookup'!$D$6:$D$2819,$G2349))</f>
        <v/>
      </c>
      <c r="B2349" s="5" t="str">
        <f>IF($G2349="","",INDEX('EDS Lookup'!$B$6:$B$2819,$G2349))</f>
        <v/>
      </c>
      <c r="C2349" s="17"/>
      <c r="D2349" s="6"/>
      <c r="E2349" s="7" t="str">
        <f>IF($G2349="","",INDEX('EDS Lookup'!$F$6:$F$2819,$G2349))</f>
        <v/>
      </c>
      <c r="F2349" s="8" t="str">
        <f>IF($G2349="","",INDEX('EDS Lookup'!$G$6:$G$2819,$G2349))</f>
        <v/>
      </c>
      <c r="G2349" t="str">
        <f>IF(2326&lt;=$B$4,IFERROR(MATCH(2326,'EDS Lookup'!$H$6:$H$2819,0),""),"")</f>
        <v/>
      </c>
      <c r="H2349" t="str">
        <f t="shared" si="36"/>
        <v/>
      </c>
    </row>
    <row r="2350" spans="1:8" ht="19.95" customHeight="1">
      <c r="A2350" s="5" t="str">
        <f>IF($G2350="","",INDEX('EDS Lookup'!$D$6:$D$2819,$G2350))</f>
        <v/>
      </c>
      <c r="B2350" s="5" t="str">
        <f>IF($G2350="","",INDEX('EDS Lookup'!$B$6:$B$2819,$G2350))</f>
        <v/>
      </c>
      <c r="C2350" s="17"/>
      <c r="D2350" s="6"/>
      <c r="E2350" s="7" t="str">
        <f>IF($G2350="","",INDEX('EDS Lookup'!$F$6:$F$2819,$G2350))</f>
        <v/>
      </c>
      <c r="F2350" s="8" t="str">
        <f>IF($G2350="","",INDEX('EDS Lookup'!$G$6:$G$2819,$G2350))</f>
        <v/>
      </c>
      <c r="G2350" t="str">
        <f>IF(2327&lt;=$B$4,IFERROR(MATCH(2327,'EDS Lookup'!$H$6:$H$2819,0),""),"")</f>
        <v/>
      </c>
      <c r="H2350" t="str">
        <f t="shared" si="36"/>
        <v/>
      </c>
    </row>
    <row r="2351" spans="1:8" ht="19.95" customHeight="1">
      <c r="A2351" s="5" t="str">
        <f>IF($G2351="","",INDEX('EDS Lookup'!$D$6:$D$2819,$G2351))</f>
        <v/>
      </c>
      <c r="B2351" s="5" t="str">
        <f>IF($G2351="","",INDEX('EDS Lookup'!$B$6:$B$2819,$G2351))</f>
        <v/>
      </c>
      <c r="C2351" s="17"/>
      <c r="D2351" s="6"/>
      <c r="E2351" s="7" t="str">
        <f>IF($G2351="","",INDEX('EDS Lookup'!$F$6:$F$2819,$G2351))</f>
        <v/>
      </c>
      <c r="F2351" s="8" t="str">
        <f>IF($G2351="","",INDEX('EDS Lookup'!$G$6:$G$2819,$G2351))</f>
        <v/>
      </c>
      <c r="G2351" t="str">
        <f>IF(2328&lt;=$B$4,IFERROR(MATCH(2328,'EDS Lookup'!$H$6:$H$2819,0),""),"")</f>
        <v/>
      </c>
      <c r="H2351" t="str">
        <f t="shared" si="36"/>
        <v/>
      </c>
    </row>
    <row r="2352" spans="1:8" ht="19.95" customHeight="1">
      <c r="A2352" s="5" t="str">
        <f>IF($G2352="","",INDEX('EDS Lookup'!$D$6:$D$2819,$G2352))</f>
        <v/>
      </c>
      <c r="B2352" s="5" t="str">
        <f>IF($G2352="","",INDEX('EDS Lookup'!$B$6:$B$2819,$G2352))</f>
        <v/>
      </c>
      <c r="C2352" s="17"/>
      <c r="D2352" s="6"/>
      <c r="E2352" s="7" t="str">
        <f>IF($G2352="","",INDEX('EDS Lookup'!$F$6:$F$2819,$G2352))</f>
        <v/>
      </c>
      <c r="F2352" s="8" t="str">
        <f>IF($G2352="","",INDEX('EDS Lookup'!$G$6:$G$2819,$G2352))</f>
        <v/>
      </c>
      <c r="G2352" t="str">
        <f>IF(2329&lt;=$B$4,IFERROR(MATCH(2329,'EDS Lookup'!$H$6:$H$2819,0),""),"")</f>
        <v/>
      </c>
      <c r="H2352" t="str">
        <f t="shared" si="36"/>
        <v/>
      </c>
    </row>
    <row r="2353" spans="1:8" ht="19.95" customHeight="1">
      <c r="A2353" s="5" t="str">
        <f>IF($G2353="","",INDEX('EDS Lookup'!$D$6:$D$2819,$G2353))</f>
        <v/>
      </c>
      <c r="B2353" s="5" t="str">
        <f>IF($G2353="","",INDEX('EDS Lookup'!$B$6:$B$2819,$G2353))</f>
        <v/>
      </c>
      <c r="C2353" s="17"/>
      <c r="D2353" s="6"/>
      <c r="E2353" s="7" t="str">
        <f>IF($G2353="","",INDEX('EDS Lookup'!$F$6:$F$2819,$G2353))</f>
        <v/>
      </c>
      <c r="F2353" s="8" t="str">
        <f>IF($G2353="","",INDEX('EDS Lookup'!$G$6:$G$2819,$G2353))</f>
        <v/>
      </c>
      <c r="G2353" t="str">
        <f>IF(2330&lt;=$B$4,IFERROR(MATCH(2330,'EDS Lookup'!$H$6:$H$2819,0),""),"")</f>
        <v/>
      </c>
      <c r="H2353" t="str">
        <f t="shared" si="36"/>
        <v/>
      </c>
    </row>
    <row r="2354" spans="1:8" ht="19.95" customHeight="1">
      <c r="A2354" s="5" t="str">
        <f>IF($G2354="","",INDEX('EDS Lookup'!$D$6:$D$2819,$G2354))</f>
        <v/>
      </c>
      <c r="B2354" s="5" t="str">
        <f>IF($G2354="","",INDEX('EDS Lookup'!$B$6:$B$2819,$G2354))</f>
        <v/>
      </c>
      <c r="C2354" s="17"/>
      <c r="D2354" s="6"/>
      <c r="E2354" s="7" t="str">
        <f>IF($G2354="","",INDEX('EDS Lookup'!$F$6:$F$2819,$G2354))</f>
        <v/>
      </c>
      <c r="F2354" s="8" t="str">
        <f>IF($G2354="","",INDEX('EDS Lookup'!$G$6:$G$2819,$G2354))</f>
        <v/>
      </c>
      <c r="G2354" t="str">
        <f>IF(2331&lt;=$B$4,IFERROR(MATCH(2331,'EDS Lookup'!$H$6:$H$2819,0),""),"")</f>
        <v/>
      </c>
      <c r="H2354" t="str">
        <f t="shared" si="36"/>
        <v/>
      </c>
    </row>
    <row r="2355" spans="1:8" ht="19.95" customHeight="1">
      <c r="A2355" s="5" t="str">
        <f>IF($G2355="","",INDEX('EDS Lookup'!$D$6:$D$2819,$G2355))</f>
        <v/>
      </c>
      <c r="B2355" s="5" t="str">
        <f>IF($G2355="","",INDEX('EDS Lookup'!$B$6:$B$2819,$G2355))</f>
        <v/>
      </c>
      <c r="C2355" s="17"/>
      <c r="D2355" s="6"/>
      <c r="E2355" s="7" t="str">
        <f>IF($G2355="","",INDEX('EDS Lookup'!$F$6:$F$2819,$G2355))</f>
        <v/>
      </c>
      <c r="F2355" s="8" t="str">
        <f>IF($G2355="","",INDEX('EDS Lookup'!$G$6:$G$2819,$G2355))</f>
        <v/>
      </c>
      <c r="G2355" t="str">
        <f>IF(2332&lt;=$B$4,IFERROR(MATCH(2332,'EDS Lookup'!$H$6:$H$2819,0),""),"")</f>
        <v/>
      </c>
      <c r="H2355" t="str">
        <f t="shared" si="36"/>
        <v/>
      </c>
    </row>
    <row r="2356" spans="1:8" ht="19.95" customHeight="1">
      <c r="A2356" s="5" t="str">
        <f>IF($G2356="","",INDEX('EDS Lookup'!$D$6:$D$2819,$G2356))</f>
        <v/>
      </c>
      <c r="B2356" s="5" t="str">
        <f>IF($G2356="","",INDEX('EDS Lookup'!$B$6:$B$2819,$G2356))</f>
        <v/>
      </c>
      <c r="C2356" s="17"/>
      <c r="D2356" s="6"/>
      <c r="E2356" s="7" t="str">
        <f>IF($G2356="","",INDEX('EDS Lookup'!$F$6:$F$2819,$G2356))</f>
        <v/>
      </c>
      <c r="F2356" s="8" t="str">
        <f>IF($G2356="","",INDEX('EDS Lookup'!$G$6:$G$2819,$G2356))</f>
        <v/>
      </c>
      <c r="G2356" t="str">
        <f>IF(2333&lt;=$B$4,IFERROR(MATCH(2333,'EDS Lookup'!$H$6:$H$2819,0),""),"")</f>
        <v/>
      </c>
      <c r="H2356" t="str">
        <f t="shared" si="36"/>
        <v/>
      </c>
    </row>
    <row r="2357" spans="1:8" ht="19.95" customHeight="1">
      <c r="A2357" s="5" t="str">
        <f>IF($G2357="","",INDEX('EDS Lookup'!$D$6:$D$2819,$G2357))</f>
        <v/>
      </c>
      <c r="B2357" s="5" t="str">
        <f>IF($G2357="","",INDEX('EDS Lookup'!$B$6:$B$2819,$G2357))</f>
        <v/>
      </c>
      <c r="C2357" s="17"/>
      <c r="D2357" s="6"/>
      <c r="E2357" s="7" t="str">
        <f>IF($G2357="","",INDEX('EDS Lookup'!$F$6:$F$2819,$G2357))</f>
        <v/>
      </c>
      <c r="F2357" s="8" t="str">
        <f>IF($G2357="","",INDEX('EDS Lookup'!$G$6:$G$2819,$G2357))</f>
        <v/>
      </c>
      <c r="G2357" t="str">
        <f>IF(2334&lt;=$B$4,IFERROR(MATCH(2334,'EDS Lookup'!$H$6:$H$2819,0),""),"")</f>
        <v/>
      </c>
      <c r="H2357" t="str">
        <f t="shared" si="36"/>
        <v/>
      </c>
    </row>
    <row r="2358" spans="1:8" ht="19.95" customHeight="1">
      <c r="A2358" s="5" t="str">
        <f>IF($G2358="","",INDEX('EDS Lookup'!$D$6:$D$2819,$G2358))</f>
        <v/>
      </c>
      <c r="B2358" s="5" t="str">
        <f>IF($G2358="","",INDEX('EDS Lookup'!$B$6:$B$2819,$G2358))</f>
        <v/>
      </c>
      <c r="C2358" s="17"/>
      <c r="D2358" s="6"/>
      <c r="E2358" s="7" t="str">
        <f>IF($G2358="","",INDEX('EDS Lookup'!$F$6:$F$2819,$G2358))</f>
        <v/>
      </c>
      <c r="F2358" s="8" t="str">
        <f>IF($G2358="","",INDEX('EDS Lookup'!$G$6:$G$2819,$G2358))</f>
        <v/>
      </c>
      <c r="G2358" t="str">
        <f>IF(2335&lt;=$B$4,IFERROR(MATCH(2335,'EDS Lookup'!$H$6:$H$2819,0),""),"")</f>
        <v/>
      </c>
      <c r="H2358" t="str">
        <f t="shared" si="36"/>
        <v/>
      </c>
    </row>
    <row r="2359" spans="1:8" ht="19.95" customHeight="1">
      <c r="A2359" s="5" t="str">
        <f>IF($G2359="","",INDEX('EDS Lookup'!$D$6:$D$2819,$G2359))</f>
        <v/>
      </c>
      <c r="B2359" s="5" t="str">
        <f>IF($G2359="","",INDEX('EDS Lookup'!$B$6:$B$2819,$G2359))</f>
        <v/>
      </c>
      <c r="C2359" s="17"/>
      <c r="D2359" s="6"/>
      <c r="E2359" s="7" t="str">
        <f>IF($G2359="","",INDEX('EDS Lookup'!$F$6:$F$2819,$G2359))</f>
        <v/>
      </c>
      <c r="F2359" s="8" t="str">
        <f>IF($G2359="","",INDEX('EDS Lookup'!$G$6:$G$2819,$G2359))</f>
        <v/>
      </c>
      <c r="G2359" t="str">
        <f>IF(2336&lt;=$B$4,IFERROR(MATCH(2336,'EDS Lookup'!$H$6:$H$2819,0),""),"")</f>
        <v/>
      </c>
      <c r="H2359" t="str">
        <f t="shared" si="36"/>
        <v/>
      </c>
    </row>
    <row r="2360" spans="1:8" ht="19.95" customHeight="1">
      <c r="A2360" s="5" t="str">
        <f>IF($G2360="","",INDEX('EDS Lookup'!$D$6:$D$2819,$G2360))</f>
        <v/>
      </c>
      <c r="B2360" s="5" t="str">
        <f>IF($G2360="","",INDEX('EDS Lookup'!$B$6:$B$2819,$G2360))</f>
        <v/>
      </c>
      <c r="C2360" s="17"/>
      <c r="D2360" s="6"/>
      <c r="E2360" s="7" t="str">
        <f>IF($G2360="","",INDEX('EDS Lookup'!$F$6:$F$2819,$G2360))</f>
        <v/>
      </c>
      <c r="F2360" s="8" t="str">
        <f>IF($G2360="","",INDEX('EDS Lookup'!$G$6:$G$2819,$G2360))</f>
        <v/>
      </c>
      <c r="G2360" t="str">
        <f>IF(2337&lt;=$B$4,IFERROR(MATCH(2337,'EDS Lookup'!$H$6:$H$2819,0),""),"")</f>
        <v/>
      </c>
      <c r="H2360" t="str">
        <f t="shared" si="36"/>
        <v/>
      </c>
    </row>
    <row r="2361" spans="1:8" ht="19.95" customHeight="1">
      <c r="A2361" s="5" t="str">
        <f>IF($G2361="","",INDEX('EDS Lookup'!$D$6:$D$2819,$G2361))</f>
        <v/>
      </c>
      <c r="B2361" s="5" t="str">
        <f>IF($G2361="","",INDEX('EDS Lookup'!$B$6:$B$2819,$G2361))</f>
        <v/>
      </c>
      <c r="C2361" s="17"/>
      <c r="D2361" s="6"/>
      <c r="E2361" s="7" t="str">
        <f>IF($G2361="","",INDEX('EDS Lookup'!$F$6:$F$2819,$G2361))</f>
        <v/>
      </c>
      <c r="F2361" s="8" t="str">
        <f>IF($G2361="","",INDEX('EDS Lookup'!$G$6:$G$2819,$G2361))</f>
        <v/>
      </c>
      <c r="G2361" t="str">
        <f>IF(2338&lt;=$B$4,IFERROR(MATCH(2338,'EDS Lookup'!$H$6:$H$2819,0),""),"")</f>
        <v/>
      </c>
      <c r="H2361" t="str">
        <f t="shared" si="36"/>
        <v/>
      </c>
    </row>
    <row r="2362" spans="1:8" ht="19.95" customHeight="1">
      <c r="A2362" s="5" t="str">
        <f>IF($G2362="","",INDEX('EDS Lookup'!$D$6:$D$2819,$G2362))</f>
        <v/>
      </c>
      <c r="B2362" s="5" t="str">
        <f>IF($G2362="","",INDEX('EDS Lookup'!$B$6:$B$2819,$G2362))</f>
        <v/>
      </c>
      <c r="C2362" s="17"/>
      <c r="D2362" s="6"/>
      <c r="E2362" s="7" t="str">
        <f>IF($G2362="","",INDEX('EDS Lookup'!$F$6:$F$2819,$G2362))</f>
        <v/>
      </c>
      <c r="F2362" s="8" t="str">
        <f>IF($G2362="","",INDEX('EDS Lookup'!$G$6:$G$2819,$G2362))</f>
        <v/>
      </c>
      <c r="G2362" t="str">
        <f>IF(2339&lt;=$B$4,IFERROR(MATCH(2339,'EDS Lookup'!$H$6:$H$2819,0),""),"")</f>
        <v/>
      </c>
      <c r="H2362" t="str">
        <f t="shared" si="36"/>
        <v/>
      </c>
    </row>
    <row r="2363" spans="1:8" ht="19.95" customHeight="1">
      <c r="A2363" s="5" t="str">
        <f>IF($G2363="","",INDEX('EDS Lookup'!$D$6:$D$2819,$G2363))</f>
        <v/>
      </c>
      <c r="B2363" s="5" t="str">
        <f>IF($G2363="","",INDEX('EDS Lookup'!$B$6:$B$2819,$G2363))</f>
        <v/>
      </c>
      <c r="C2363" s="17"/>
      <c r="D2363" s="6"/>
      <c r="E2363" s="7" t="str">
        <f>IF($G2363="","",INDEX('EDS Lookup'!$F$6:$F$2819,$G2363))</f>
        <v/>
      </c>
      <c r="F2363" s="8" t="str">
        <f>IF($G2363="","",INDEX('EDS Lookup'!$G$6:$G$2819,$G2363))</f>
        <v/>
      </c>
      <c r="G2363" t="str">
        <f>IF(2340&lt;=$B$4,IFERROR(MATCH(2340,'EDS Lookup'!$H$6:$H$2819,0),""),"")</f>
        <v/>
      </c>
      <c r="H2363" t="str">
        <f t="shared" si="36"/>
        <v/>
      </c>
    </row>
    <row r="2364" spans="1:8" ht="19.95" customHeight="1">
      <c r="A2364" s="5" t="str">
        <f>IF($G2364="","",INDEX('EDS Lookup'!$D$6:$D$2819,$G2364))</f>
        <v/>
      </c>
      <c r="B2364" s="5" t="str">
        <f>IF($G2364="","",INDEX('EDS Lookup'!$B$6:$B$2819,$G2364))</f>
        <v/>
      </c>
      <c r="C2364" s="17"/>
      <c r="D2364" s="6"/>
      <c r="E2364" s="7" t="str">
        <f>IF($G2364="","",INDEX('EDS Lookup'!$F$6:$F$2819,$G2364))</f>
        <v/>
      </c>
      <c r="F2364" s="8" t="str">
        <f>IF($G2364="","",INDEX('EDS Lookup'!$G$6:$G$2819,$G2364))</f>
        <v/>
      </c>
      <c r="G2364" t="str">
        <f>IF(2341&lt;=$B$4,IFERROR(MATCH(2341,'EDS Lookup'!$H$6:$H$2819,0),""),"")</f>
        <v/>
      </c>
      <c r="H2364" t="str">
        <f t="shared" si="36"/>
        <v/>
      </c>
    </row>
    <row r="2365" spans="1:8" ht="19.95" customHeight="1">
      <c r="A2365" s="5" t="str">
        <f>IF($G2365="","",INDEX('EDS Lookup'!$D$6:$D$2819,$G2365))</f>
        <v/>
      </c>
      <c r="B2365" s="5" t="str">
        <f>IF($G2365="","",INDEX('EDS Lookup'!$B$6:$B$2819,$G2365))</f>
        <v/>
      </c>
      <c r="C2365" s="17"/>
      <c r="D2365" s="6"/>
      <c r="E2365" s="7" t="str">
        <f>IF($G2365="","",INDEX('EDS Lookup'!$F$6:$F$2819,$G2365))</f>
        <v/>
      </c>
      <c r="F2365" s="8" t="str">
        <f>IF($G2365="","",INDEX('EDS Lookup'!$G$6:$G$2819,$G2365))</f>
        <v/>
      </c>
      <c r="G2365" t="str">
        <f>IF(2342&lt;=$B$4,IFERROR(MATCH(2342,'EDS Lookup'!$H$6:$H$2819,0),""),"")</f>
        <v/>
      </c>
      <c r="H2365" t="str">
        <f t="shared" si="36"/>
        <v/>
      </c>
    </row>
    <row r="2366" spans="1:8" ht="19.95" customHeight="1">
      <c r="A2366" s="5" t="str">
        <f>IF($G2366="","",INDEX('EDS Lookup'!$D$6:$D$2819,$G2366))</f>
        <v/>
      </c>
      <c r="B2366" s="5" t="str">
        <f>IF($G2366="","",INDEX('EDS Lookup'!$B$6:$B$2819,$G2366))</f>
        <v/>
      </c>
      <c r="C2366" s="17"/>
      <c r="D2366" s="6"/>
      <c r="E2366" s="7" t="str">
        <f>IF($G2366="","",INDEX('EDS Lookup'!$F$6:$F$2819,$G2366))</f>
        <v/>
      </c>
      <c r="F2366" s="8" t="str">
        <f>IF($G2366="","",INDEX('EDS Lookup'!$G$6:$G$2819,$G2366))</f>
        <v/>
      </c>
      <c r="G2366" t="str">
        <f>IF(2343&lt;=$B$4,IFERROR(MATCH(2343,'EDS Lookup'!$H$6:$H$2819,0),""),"")</f>
        <v/>
      </c>
      <c r="H2366" t="str">
        <f t="shared" si="36"/>
        <v/>
      </c>
    </row>
    <row r="2367" spans="1:8" ht="19.95" customHeight="1">
      <c r="A2367" s="5" t="str">
        <f>IF($G2367="","",INDEX('EDS Lookup'!$D$6:$D$2819,$G2367))</f>
        <v/>
      </c>
      <c r="B2367" s="5" t="str">
        <f>IF($G2367="","",INDEX('EDS Lookup'!$B$6:$B$2819,$G2367))</f>
        <v/>
      </c>
      <c r="C2367" s="17"/>
      <c r="D2367" s="6"/>
      <c r="E2367" s="7" t="str">
        <f>IF($G2367="","",INDEX('EDS Lookup'!$F$6:$F$2819,$G2367))</f>
        <v/>
      </c>
      <c r="F2367" s="8" t="str">
        <f>IF($G2367="","",INDEX('EDS Lookup'!$G$6:$G$2819,$G2367))</f>
        <v/>
      </c>
      <c r="G2367" t="str">
        <f>IF(2344&lt;=$B$4,IFERROR(MATCH(2344,'EDS Lookup'!$H$6:$H$2819,0),""),"")</f>
        <v/>
      </c>
      <c r="H2367" t="str">
        <f t="shared" si="36"/>
        <v/>
      </c>
    </row>
    <row r="2368" spans="1:8" ht="19.95" customHeight="1">
      <c r="A2368" s="5" t="str">
        <f>IF($G2368="","",INDEX('EDS Lookup'!$D$6:$D$2819,$G2368))</f>
        <v/>
      </c>
      <c r="B2368" s="5" t="str">
        <f>IF($G2368="","",INDEX('EDS Lookup'!$B$6:$B$2819,$G2368))</f>
        <v/>
      </c>
      <c r="C2368" s="17"/>
      <c r="D2368" s="6"/>
      <c r="E2368" s="7" t="str">
        <f>IF($G2368="","",INDEX('EDS Lookup'!$F$6:$F$2819,$G2368))</f>
        <v/>
      </c>
      <c r="F2368" s="8" t="str">
        <f>IF($G2368="","",INDEX('EDS Lookup'!$G$6:$G$2819,$G2368))</f>
        <v/>
      </c>
      <c r="G2368" t="str">
        <f>IF(2345&lt;=$B$4,IFERROR(MATCH(2345,'EDS Lookup'!$H$6:$H$2819,0),""),"")</f>
        <v/>
      </c>
      <c r="H2368" t="str">
        <f t="shared" si="36"/>
        <v/>
      </c>
    </row>
    <row r="2369" spans="1:8" ht="19.95" customHeight="1">
      <c r="A2369" s="5" t="str">
        <f>IF($G2369="","",INDEX('EDS Lookup'!$D$6:$D$2819,$G2369))</f>
        <v/>
      </c>
      <c r="B2369" s="5" t="str">
        <f>IF($G2369="","",INDEX('EDS Lookup'!$B$6:$B$2819,$G2369))</f>
        <v/>
      </c>
      <c r="C2369" s="17"/>
      <c r="D2369" s="6"/>
      <c r="E2369" s="7" t="str">
        <f>IF($G2369="","",INDEX('EDS Lookup'!$F$6:$F$2819,$G2369))</f>
        <v/>
      </c>
      <c r="F2369" s="8" t="str">
        <f>IF($G2369="","",INDEX('EDS Lookup'!$G$6:$G$2819,$G2369))</f>
        <v/>
      </c>
      <c r="G2369" t="str">
        <f>IF(2346&lt;=$B$4,IFERROR(MATCH(2346,'EDS Lookup'!$H$6:$H$2819,0),""),"")</f>
        <v/>
      </c>
      <c r="H2369" t="str">
        <f t="shared" si="36"/>
        <v/>
      </c>
    </row>
    <row r="2370" spans="1:8" ht="19.95" customHeight="1">
      <c r="A2370" s="5" t="str">
        <f>IF($G2370="","",INDEX('EDS Lookup'!$D$6:$D$2819,$G2370))</f>
        <v/>
      </c>
      <c r="B2370" s="5" t="str">
        <f>IF($G2370="","",INDEX('EDS Lookup'!$B$6:$B$2819,$G2370))</f>
        <v/>
      </c>
      <c r="C2370" s="17"/>
      <c r="D2370" s="6"/>
      <c r="E2370" s="7" t="str">
        <f>IF($G2370="","",INDEX('EDS Lookup'!$F$6:$F$2819,$G2370))</f>
        <v/>
      </c>
      <c r="F2370" s="8" t="str">
        <f>IF($G2370="","",INDEX('EDS Lookup'!$G$6:$G$2819,$G2370))</f>
        <v/>
      </c>
      <c r="G2370" t="str">
        <f>IF(2347&lt;=$B$4,IFERROR(MATCH(2347,'EDS Lookup'!$H$6:$H$2819,0),""),"")</f>
        <v/>
      </c>
      <c r="H2370" t="str">
        <f t="shared" si="36"/>
        <v/>
      </c>
    </row>
    <row r="2371" spans="1:8" ht="19.95" customHeight="1">
      <c r="A2371" s="5" t="str">
        <f>IF($G2371="","",INDEX('EDS Lookup'!$D$6:$D$2819,$G2371))</f>
        <v/>
      </c>
      <c r="B2371" s="5" t="str">
        <f>IF($G2371="","",INDEX('EDS Lookup'!$B$6:$B$2819,$G2371))</f>
        <v/>
      </c>
      <c r="C2371" s="17"/>
      <c r="D2371" s="6"/>
      <c r="E2371" s="7" t="str">
        <f>IF($G2371="","",INDEX('EDS Lookup'!$F$6:$F$2819,$G2371))</f>
        <v/>
      </c>
      <c r="F2371" s="8" t="str">
        <f>IF($G2371="","",INDEX('EDS Lookup'!$G$6:$G$2819,$G2371))</f>
        <v/>
      </c>
      <c r="G2371" t="str">
        <f>IF(2348&lt;=$B$4,IFERROR(MATCH(2348,'EDS Lookup'!$H$6:$H$2819,0),""),"")</f>
        <v/>
      </c>
      <c r="H2371" t="str">
        <f t="shared" si="36"/>
        <v/>
      </c>
    </row>
    <row r="2372" spans="1:8" ht="19.95" customHeight="1">
      <c r="A2372" s="5" t="str">
        <f>IF($G2372="","",INDEX('EDS Lookup'!$D$6:$D$2819,$G2372))</f>
        <v/>
      </c>
      <c r="B2372" s="5" t="str">
        <f>IF($G2372="","",INDEX('EDS Lookup'!$B$6:$B$2819,$G2372))</f>
        <v/>
      </c>
      <c r="C2372" s="17"/>
      <c r="D2372" s="6"/>
      <c r="E2372" s="7" t="str">
        <f>IF($G2372="","",INDEX('EDS Lookup'!$F$6:$F$2819,$G2372))</f>
        <v/>
      </c>
      <c r="F2372" s="8" t="str">
        <f>IF($G2372="","",INDEX('EDS Lookup'!$G$6:$G$2819,$G2372))</f>
        <v/>
      </c>
      <c r="G2372" t="str">
        <f>IF(2349&lt;=$B$4,IFERROR(MATCH(2349,'EDS Lookup'!$H$6:$H$2819,0),""),"")</f>
        <v/>
      </c>
      <c r="H2372" t="str">
        <f t="shared" si="36"/>
        <v/>
      </c>
    </row>
    <row r="2373" spans="1:8" ht="19.95" customHeight="1">
      <c r="A2373" s="5" t="str">
        <f>IF($G2373="","",INDEX('EDS Lookup'!$D$6:$D$2819,$G2373))</f>
        <v/>
      </c>
      <c r="B2373" s="5" t="str">
        <f>IF($G2373="","",INDEX('EDS Lookup'!$B$6:$B$2819,$G2373))</f>
        <v/>
      </c>
      <c r="C2373" s="17"/>
      <c r="D2373" s="6"/>
      <c r="E2373" s="7" t="str">
        <f>IF($G2373="","",INDEX('EDS Lookup'!$F$6:$F$2819,$G2373))</f>
        <v/>
      </c>
      <c r="F2373" s="8" t="str">
        <f>IF($G2373="","",INDEX('EDS Lookup'!$G$6:$G$2819,$G2373))</f>
        <v/>
      </c>
      <c r="G2373" t="str">
        <f>IF(2350&lt;=$B$4,IFERROR(MATCH(2350,'EDS Lookup'!$H$6:$H$2819,0),""),"")</f>
        <v/>
      </c>
      <c r="H2373" t="str">
        <f t="shared" si="36"/>
        <v/>
      </c>
    </row>
    <row r="2374" spans="1:8" ht="19.95" customHeight="1">
      <c r="A2374" s="5" t="str">
        <f>IF($G2374="","",INDEX('EDS Lookup'!$D$6:$D$2819,$G2374))</f>
        <v/>
      </c>
      <c r="B2374" s="5" t="str">
        <f>IF($G2374="","",INDEX('EDS Lookup'!$B$6:$B$2819,$G2374))</f>
        <v/>
      </c>
      <c r="C2374" s="17"/>
      <c r="D2374" s="6"/>
      <c r="E2374" s="7" t="str">
        <f>IF($G2374="","",INDEX('EDS Lookup'!$F$6:$F$2819,$G2374))</f>
        <v/>
      </c>
      <c r="F2374" s="8" t="str">
        <f>IF($G2374="","",INDEX('EDS Lookup'!$G$6:$G$2819,$G2374))</f>
        <v/>
      </c>
      <c r="G2374" t="str">
        <f>IF(2351&lt;=$B$4,IFERROR(MATCH(2351,'EDS Lookup'!$H$6:$H$2819,0),""),"")</f>
        <v/>
      </c>
      <c r="H2374" t="str">
        <f t="shared" si="36"/>
        <v/>
      </c>
    </row>
    <row r="2375" spans="1:8" ht="19.95" customHeight="1">
      <c r="A2375" s="5" t="str">
        <f>IF($G2375="","",INDEX('EDS Lookup'!$D$6:$D$2819,$G2375))</f>
        <v/>
      </c>
      <c r="B2375" s="5" t="str">
        <f>IF($G2375="","",INDEX('EDS Lookup'!$B$6:$B$2819,$G2375))</f>
        <v/>
      </c>
      <c r="C2375" s="17"/>
      <c r="D2375" s="6"/>
      <c r="E2375" s="7" t="str">
        <f>IF($G2375="","",INDEX('EDS Lookup'!$F$6:$F$2819,$G2375))</f>
        <v/>
      </c>
      <c r="F2375" s="8" t="str">
        <f>IF($G2375="","",INDEX('EDS Lookup'!$G$6:$G$2819,$G2375))</f>
        <v/>
      </c>
      <c r="G2375" t="str">
        <f>IF(2352&lt;=$B$4,IFERROR(MATCH(2352,'EDS Lookup'!$H$6:$H$2819,0),""),"")</f>
        <v/>
      </c>
      <c r="H2375" t="str">
        <f t="shared" si="36"/>
        <v/>
      </c>
    </row>
    <row r="2376" spans="1:8" ht="19.95" customHeight="1">
      <c r="A2376" s="5" t="str">
        <f>IF($G2376="","",INDEX('EDS Lookup'!$D$6:$D$2819,$G2376))</f>
        <v/>
      </c>
      <c r="B2376" s="5" t="str">
        <f>IF($G2376="","",INDEX('EDS Lookup'!$B$6:$B$2819,$G2376))</f>
        <v/>
      </c>
      <c r="C2376" s="17"/>
      <c r="D2376" s="6"/>
      <c r="E2376" s="7" t="str">
        <f>IF($G2376="","",INDEX('EDS Lookup'!$F$6:$F$2819,$G2376))</f>
        <v/>
      </c>
      <c r="F2376" s="8" t="str">
        <f>IF($G2376="","",INDEX('EDS Lookup'!$G$6:$G$2819,$G2376))</f>
        <v/>
      </c>
      <c r="G2376" t="str">
        <f>IF(2353&lt;=$B$4,IFERROR(MATCH(2353,'EDS Lookup'!$H$6:$H$2819,0),""),"")</f>
        <v/>
      </c>
      <c r="H2376" t="str">
        <f t="shared" si="36"/>
        <v/>
      </c>
    </row>
    <row r="2377" spans="1:8" ht="19.95" customHeight="1">
      <c r="A2377" s="5" t="str">
        <f>IF($G2377="","",INDEX('EDS Lookup'!$D$6:$D$2819,$G2377))</f>
        <v/>
      </c>
      <c r="B2377" s="5" t="str">
        <f>IF($G2377="","",INDEX('EDS Lookup'!$B$6:$B$2819,$G2377))</f>
        <v/>
      </c>
      <c r="C2377" s="17"/>
      <c r="D2377" s="6"/>
      <c r="E2377" s="7" t="str">
        <f>IF($G2377="","",INDEX('EDS Lookup'!$F$6:$F$2819,$G2377))</f>
        <v/>
      </c>
      <c r="F2377" s="8" t="str">
        <f>IF($G2377="","",INDEX('EDS Lookup'!$G$6:$G$2819,$G2377))</f>
        <v/>
      </c>
      <c r="G2377" t="str">
        <f>IF(2354&lt;=$B$4,IFERROR(MATCH(2354,'EDS Lookup'!$H$6:$H$2819,0),""),"")</f>
        <v/>
      </c>
      <c r="H2377" t="str">
        <f t="shared" si="36"/>
        <v/>
      </c>
    </row>
    <row r="2378" spans="1:8" ht="19.95" customHeight="1">
      <c r="A2378" s="5" t="str">
        <f>IF($G2378="","",INDEX('EDS Lookup'!$D$6:$D$2819,$G2378))</f>
        <v/>
      </c>
      <c r="B2378" s="5" t="str">
        <f>IF($G2378="","",INDEX('EDS Lookup'!$B$6:$B$2819,$G2378))</f>
        <v/>
      </c>
      <c r="C2378" s="17"/>
      <c r="D2378" s="6"/>
      <c r="E2378" s="7" t="str">
        <f>IF($G2378="","",INDEX('EDS Lookup'!$F$6:$F$2819,$G2378))</f>
        <v/>
      </c>
      <c r="F2378" s="8" t="str">
        <f>IF($G2378="","",INDEX('EDS Lookup'!$G$6:$G$2819,$G2378))</f>
        <v/>
      </c>
      <c r="G2378" t="str">
        <f>IF(2355&lt;=$B$4,IFERROR(MATCH(2355,'EDS Lookup'!$H$6:$H$2819,0),""),"")</f>
        <v/>
      </c>
      <c r="H2378" t="str">
        <f t="shared" si="36"/>
        <v/>
      </c>
    </row>
    <row r="2379" spans="1:8" ht="19.95" customHeight="1">
      <c r="A2379" s="5" t="str">
        <f>IF($G2379="","",INDEX('EDS Lookup'!$D$6:$D$2819,$G2379))</f>
        <v/>
      </c>
      <c r="B2379" s="5" t="str">
        <f>IF($G2379="","",INDEX('EDS Lookup'!$B$6:$B$2819,$G2379))</f>
        <v/>
      </c>
      <c r="C2379" s="17"/>
      <c r="D2379" s="6"/>
      <c r="E2379" s="7" t="str">
        <f>IF($G2379="","",INDEX('EDS Lookup'!$F$6:$F$2819,$G2379))</f>
        <v/>
      </c>
      <c r="F2379" s="8" t="str">
        <f>IF($G2379="","",INDEX('EDS Lookup'!$G$6:$G$2819,$G2379))</f>
        <v/>
      </c>
      <c r="G2379" t="str">
        <f>IF(2356&lt;=$B$4,IFERROR(MATCH(2356,'EDS Lookup'!$H$6:$H$2819,0),""),"")</f>
        <v/>
      </c>
      <c r="H2379" t="str">
        <f t="shared" si="36"/>
        <v/>
      </c>
    </row>
    <row r="2380" spans="1:8" ht="19.95" customHeight="1">
      <c r="A2380" s="5" t="str">
        <f>IF($G2380="","",INDEX('EDS Lookup'!$D$6:$D$2819,$G2380))</f>
        <v/>
      </c>
      <c r="B2380" s="5" t="str">
        <f>IF($G2380="","",INDEX('EDS Lookup'!$B$6:$B$2819,$G2380))</f>
        <v/>
      </c>
      <c r="C2380" s="17"/>
      <c r="D2380" s="6"/>
      <c r="E2380" s="7" t="str">
        <f>IF($G2380="","",INDEX('EDS Lookup'!$F$6:$F$2819,$G2380))</f>
        <v/>
      </c>
      <c r="F2380" s="8" t="str">
        <f>IF($G2380="","",INDEX('EDS Lookup'!$G$6:$G$2819,$G2380))</f>
        <v/>
      </c>
      <c r="G2380" t="str">
        <f>IF(2357&lt;=$B$4,IFERROR(MATCH(2357,'EDS Lookup'!$H$6:$H$2819,0),""),"")</f>
        <v/>
      </c>
      <c r="H2380" t="str">
        <f t="shared" si="36"/>
        <v/>
      </c>
    </row>
    <row r="2381" spans="1:8" ht="19.95" customHeight="1">
      <c r="A2381" s="5" t="str">
        <f>IF($G2381="","",INDEX('EDS Lookup'!$D$6:$D$2819,$G2381))</f>
        <v/>
      </c>
      <c r="B2381" s="5" t="str">
        <f>IF($G2381="","",INDEX('EDS Lookup'!$B$6:$B$2819,$G2381))</f>
        <v/>
      </c>
      <c r="C2381" s="17"/>
      <c r="D2381" s="6"/>
      <c r="E2381" s="7" t="str">
        <f>IF($G2381="","",INDEX('EDS Lookup'!$F$6:$F$2819,$G2381))</f>
        <v/>
      </c>
      <c r="F2381" s="8" t="str">
        <f>IF($G2381="","",INDEX('EDS Lookup'!$G$6:$G$2819,$G2381))</f>
        <v/>
      </c>
      <c r="G2381" t="str">
        <f>IF(2358&lt;=$B$4,IFERROR(MATCH(2358,'EDS Lookup'!$H$6:$H$2819,0),""),"")</f>
        <v/>
      </c>
      <c r="H2381" t="str">
        <f t="shared" si="36"/>
        <v/>
      </c>
    </row>
    <row r="2382" spans="1:8" ht="19.95" customHeight="1">
      <c r="A2382" s="5" t="str">
        <f>IF($G2382="","",INDEX('EDS Lookup'!$D$6:$D$2819,$G2382))</f>
        <v/>
      </c>
      <c r="B2382" s="5" t="str">
        <f>IF($G2382="","",INDEX('EDS Lookup'!$B$6:$B$2819,$G2382))</f>
        <v/>
      </c>
      <c r="C2382" s="17"/>
      <c r="D2382" s="6"/>
      <c r="E2382" s="7" t="str">
        <f>IF($G2382="","",INDEX('EDS Lookup'!$F$6:$F$2819,$G2382))</f>
        <v/>
      </c>
      <c r="F2382" s="8" t="str">
        <f>IF($G2382="","",INDEX('EDS Lookup'!$G$6:$G$2819,$G2382))</f>
        <v/>
      </c>
      <c r="G2382" t="str">
        <f>IF(2359&lt;=$B$4,IFERROR(MATCH(2359,'EDS Lookup'!$H$6:$H$2819,0),""),"")</f>
        <v/>
      </c>
      <c r="H2382" t="str">
        <f t="shared" si="36"/>
        <v/>
      </c>
    </row>
    <row r="2383" spans="1:8" ht="19.95" customHeight="1">
      <c r="A2383" s="5" t="str">
        <f>IF($G2383="","",INDEX('EDS Lookup'!$D$6:$D$2819,$G2383))</f>
        <v/>
      </c>
      <c r="B2383" s="5" t="str">
        <f>IF($G2383="","",INDEX('EDS Lookup'!$B$6:$B$2819,$G2383))</f>
        <v/>
      </c>
      <c r="C2383" s="17"/>
      <c r="D2383" s="6"/>
      <c r="E2383" s="7" t="str">
        <f>IF($G2383="","",INDEX('EDS Lookup'!$F$6:$F$2819,$G2383))</f>
        <v/>
      </c>
      <c r="F2383" s="8" t="str">
        <f>IF($G2383="","",INDEX('EDS Lookup'!$G$6:$G$2819,$G2383))</f>
        <v/>
      </c>
      <c r="G2383" t="str">
        <f>IF(2360&lt;=$B$4,IFERROR(MATCH(2360,'EDS Lookup'!$H$6:$H$2819,0),""),"")</f>
        <v/>
      </c>
      <c r="H2383" t="str">
        <f t="shared" si="36"/>
        <v/>
      </c>
    </row>
    <row r="2384" spans="1:8" ht="19.95" customHeight="1">
      <c r="A2384" s="5" t="str">
        <f>IF($G2384="","",INDEX('EDS Lookup'!$D$6:$D$2819,$G2384))</f>
        <v/>
      </c>
      <c r="B2384" s="5" t="str">
        <f>IF($G2384="","",INDEX('EDS Lookup'!$B$6:$B$2819,$G2384))</f>
        <v/>
      </c>
      <c r="C2384" s="17"/>
      <c r="D2384" s="6"/>
      <c r="E2384" s="7" t="str">
        <f>IF($G2384="","",INDEX('EDS Lookup'!$F$6:$F$2819,$G2384))</f>
        <v/>
      </c>
      <c r="F2384" s="8" t="str">
        <f>IF($G2384="","",INDEX('EDS Lookup'!$G$6:$G$2819,$G2384))</f>
        <v/>
      </c>
      <c r="G2384" t="str">
        <f>IF(2361&lt;=$B$4,IFERROR(MATCH(2361,'EDS Lookup'!$H$6:$H$2819,0),""),"")</f>
        <v/>
      </c>
      <c r="H2384" t="str">
        <f t="shared" si="36"/>
        <v/>
      </c>
    </row>
    <row r="2385" spans="1:8" ht="19.95" customHeight="1">
      <c r="A2385" s="5" t="str">
        <f>IF($G2385="","",INDEX('EDS Lookup'!$D$6:$D$2819,$G2385))</f>
        <v/>
      </c>
      <c r="B2385" s="5" t="str">
        <f>IF($G2385="","",INDEX('EDS Lookup'!$B$6:$B$2819,$G2385))</f>
        <v/>
      </c>
      <c r="C2385" s="17"/>
      <c r="D2385" s="6"/>
      <c r="E2385" s="7" t="str">
        <f>IF($G2385="","",INDEX('EDS Lookup'!$F$6:$F$2819,$G2385))</f>
        <v/>
      </c>
      <c r="F2385" s="8" t="str">
        <f>IF($G2385="","",INDEX('EDS Lookup'!$G$6:$G$2819,$G2385))</f>
        <v/>
      </c>
      <c r="G2385" t="str">
        <f>IF(2362&lt;=$B$4,IFERROR(MATCH(2362,'EDS Lookup'!$H$6:$H$2819,0),""),"")</f>
        <v/>
      </c>
      <c r="H2385" t="str">
        <f t="shared" si="36"/>
        <v/>
      </c>
    </row>
    <row r="2386" spans="1:8" ht="19.95" customHeight="1">
      <c r="A2386" s="5" t="str">
        <f>IF($G2386="","",INDEX('EDS Lookup'!$D$6:$D$2819,$G2386))</f>
        <v/>
      </c>
      <c r="B2386" s="5" t="str">
        <f>IF($G2386="","",INDEX('EDS Lookup'!$B$6:$B$2819,$G2386))</f>
        <v/>
      </c>
      <c r="C2386" s="17"/>
      <c r="D2386" s="6"/>
      <c r="E2386" s="7" t="str">
        <f>IF($G2386="","",INDEX('EDS Lookup'!$F$6:$F$2819,$G2386))</f>
        <v/>
      </c>
      <c r="F2386" s="8" t="str">
        <f>IF($G2386="","",INDEX('EDS Lookup'!$G$6:$G$2819,$G2386))</f>
        <v/>
      </c>
      <c r="G2386" t="str">
        <f>IF(2363&lt;=$B$4,IFERROR(MATCH(2363,'EDS Lookup'!$H$6:$H$2819,0),""),"")</f>
        <v/>
      </c>
      <c r="H2386" t="str">
        <f t="shared" si="36"/>
        <v/>
      </c>
    </row>
    <row r="2387" spans="1:8" ht="19.95" customHeight="1">
      <c r="A2387" s="5" t="str">
        <f>IF($G2387="","",INDEX('EDS Lookup'!$D$6:$D$2819,$G2387))</f>
        <v/>
      </c>
      <c r="B2387" s="5" t="str">
        <f>IF($G2387="","",INDEX('EDS Lookup'!$B$6:$B$2819,$G2387))</f>
        <v/>
      </c>
      <c r="C2387" s="17"/>
      <c r="D2387" s="6"/>
      <c r="E2387" s="7" t="str">
        <f>IF($G2387="","",INDEX('EDS Lookup'!$F$6:$F$2819,$G2387))</f>
        <v/>
      </c>
      <c r="F2387" s="8" t="str">
        <f>IF($G2387="","",INDEX('EDS Lookup'!$G$6:$G$2819,$G2387))</f>
        <v/>
      </c>
      <c r="G2387" t="str">
        <f>IF(2364&lt;=$B$4,IFERROR(MATCH(2364,'EDS Lookup'!$H$6:$H$2819,0),""),"")</f>
        <v/>
      </c>
      <c r="H2387" t="str">
        <f t="shared" si="36"/>
        <v/>
      </c>
    </row>
    <row r="2388" spans="1:8" ht="19.95" customHeight="1">
      <c r="A2388" s="5" t="str">
        <f>IF($G2388="","",INDEX('EDS Lookup'!$D$6:$D$2819,$G2388))</f>
        <v/>
      </c>
      <c r="B2388" s="5" t="str">
        <f>IF($G2388="","",INDEX('EDS Lookup'!$B$6:$B$2819,$G2388))</f>
        <v/>
      </c>
      <c r="C2388" s="17"/>
      <c r="D2388" s="6"/>
      <c r="E2388" s="7" t="str">
        <f>IF($G2388="","",INDEX('EDS Lookup'!$F$6:$F$2819,$G2388))</f>
        <v/>
      </c>
      <c r="F2388" s="8" t="str">
        <f>IF($G2388="","",INDEX('EDS Lookup'!$G$6:$G$2819,$G2388))</f>
        <v/>
      </c>
      <c r="G2388" t="str">
        <f>IF(2365&lt;=$B$4,IFERROR(MATCH(2365,'EDS Lookup'!$H$6:$H$2819,0),""),"")</f>
        <v/>
      </c>
      <c r="H2388" t="str">
        <f t="shared" si="36"/>
        <v/>
      </c>
    </row>
    <row r="2389" spans="1:8" ht="19.95" customHeight="1">
      <c r="A2389" s="5" t="str">
        <f>IF($G2389="","",INDEX('EDS Lookup'!$D$6:$D$2819,$G2389))</f>
        <v/>
      </c>
      <c r="B2389" s="5" t="str">
        <f>IF($G2389="","",INDEX('EDS Lookup'!$B$6:$B$2819,$G2389))</f>
        <v/>
      </c>
      <c r="C2389" s="17"/>
      <c r="D2389" s="6"/>
      <c r="E2389" s="7" t="str">
        <f>IF($G2389="","",INDEX('EDS Lookup'!$F$6:$F$2819,$G2389))</f>
        <v/>
      </c>
      <c r="F2389" s="8" t="str">
        <f>IF($G2389="","",INDEX('EDS Lookup'!$G$6:$G$2819,$G2389))</f>
        <v/>
      </c>
      <c r="G2389" t="str">
        <f>IF(2366&lt;=$B$4,IFERROR(MATCH(2366,'EDS Lookup'!$H$6:$H$2819,0),""),"")</f>
        <v/>
      </c>
      <c r="H2389" t="str">
        <f t="shared" si="36"/>
        <v/>
      </c>
    </row>
    <row r="2390" spans="1:8" ht="19.95" customHeight="1">
      <c r="A2390" s="5" t="str">
        <f>IF($G2390="","",INDEX('EDS Lookup'!$D$6:$D$2819,$G2390))</f>
        <v/>
      </c>
      <c r="B2390" s="5" t="str">
        <f>IF($G2390="","",INDEX('EDS Lookup'!$B$6:$B$2819,$G2390))</f>
        <v/>
      </c>
      <c r="C2390" s="17"/>
      <c r="D2390" s="6"/>
      <c r="E2390" s="7" t="str">
        <f>IF($G2390="","",INDEX('EDS Lookup'!$F$6:$F$2819,$G2390))</f>
        <v/>
      </c>
      <c r="F2390" s="8" t="str">
        <f>IF($G2390="","",INDEX('EDS Lookup'!$G$6:$G$2819,$G2390))</f>
        <v/>
      </c>
      <c r="G2390" t="str">
        <f>IF(2367&lt;=$B$4,IFERROR(MATCH(2367,'EDS Lookup'!$H$6:$H$2819,0),""),"")</f>
        <v/>
      </c>
      <c r="H2390" t="str">
        <f t="shared" si="36"/>
        <v/>
      </c>
    </row>
    <row r="2391" spans="1:8" ht="19.95" customHeight="1">
      <c r="A2391" s="5" t="str">
        <f>IF($G2391="","",INDEX('EDS Lookup'!$D$6:$D$2819,$G2391))</f>
        <v/>
      </c>
      <c r="B2391" s="5" t="str">
        <f>IF($G2391="","",INDEX('EDS Lookup'!$B$6:$B$2819,$G2391))</f>
        <v/>
      </c>
      <c r="C2391" s="17"/>
      <c r="D2391" s="6"/>
      <c r="E2391" s="7" t="str">
        <f>IF($G2391="","",INDEX('EDS Lookup'!$F$6:$F$2819,$G2391))</f>
        <v/>
      </c>
      <c r="F2391" s="8" t="str">
        <f>IF($G2391="","",INDEX('EDS Lookup'!$G$6:$G$2819,$G2391))</f>
        <v/>
      </c>
      <c r="G2391" t="str">
        <f>IF(2368&lt;=$B$4,IFERROR(MATCH(2368,'EDS Lookup'!$H$6:$H$2819,0),""),"")</f>
        <v/>
      </c>
      <c r="H2391" t="str">
        <f t="shared" si="36"/>
        <v/>
      </c>
    </row>
    <row r="2392" spans="1:8" ht="19.95" customHeight="1">
      <c r="A2392" s="5" t="str">
        <f>IF($G2392="","",INDEX('EDS Lookup'!$D$6:$D$2819,$G2392))</f>
        <v/>
      </c>
      <c r="B2392" s="5" t="str">
        <f>IF($G2392="","",INDEX('EDS Lookup'!$B$6:$B$2819,$G2392))</f>
        <v/>
      </c>
      <c r="C2392" s="17"/>
      <c r="D2392" s="6"/>
      <c r="E2392" s="7" t="str">
        <f>IF($G2392="","",INDEX('EDS Lookup'!$F$6:$F$2819,$G2392))</f>
        <v/>
      </c>
      <c r="F2392" s="8" t="str">
        <f>IF($G2392="","",INDEX('EDS Lookup'!$G$6:$G$2819,$G2392))</f>
        <v/>
      </c>
      <c r="G2392" t="str">
        <f>IF(2369&lt;=$B$4,IFERROR(MATCH(2369,'EDS Lookup'!$H$6:$H$2819,0),""),"")</f>
        <v/>
      </c>
      <c r="H2392" t="str">
        <f t="shared" ref="H2392:H2455" si="37">IF(F2392="&lt;5",5,IF(F2392="&gt;95",95,IF(ISNUMBER(F2392),F2392,"")))</f>
        <v/>
      </c>
    </row>
    <row r="2393" spans="1:8" ht="19.95" customHeight="1">
      <c r="A2393" s="5" t="str">
        <f>IF($G2393="","",INDEX('EDS Lookup'!$D$6:$D$2819,$G2393))</f>
        <v/>
      </c>
      <c r="B2393" s="5" t="str">
        <f>IF($G2393="","",INDEX('EDS Lookup'!$B$6:$B$2819,$G2393))</f>
        <v/>
      </c>
      <c r="C2393" s="17"/>
      <c r="D2393" s="6"/>
      <c r="E2393" s="7" t="str">
        <f>IF($G2393="","",INDEX('EDS Lookup'!$F$6:$F$2819,$G2393))</f>
        <v/>
      </c>
      <c r="F2393" s="8" t="str">
        <f>IF($G2393="","",INDEX('EDS Lookup'!$G$6:$G$2819,$G2393))</f>
        <v/>
      </c>
      <c r="G2393" t="str">
        <f>IF(2370&lt;=$B$4,IFERROR(MATCH(2370,'EDS Lookup'!$H$6:$H$2819,0),""),"")</f>
        <v/>
      </c>
      <c r="H2393" t="str">
        <f t="shared" si="37"/>
        <v/>
      </c>
    </row>
    <row r="2394" spans="1:8" ht="19.95" customHeight="1">
      <c r="A2394" s="5" t="str">
        <f>IF($G2394="","",INDEX('EDS Lookup'!$D$6:$D$2819,$G2394))</f>
        <v/>
      </c>
      <c r="B2394" s="5" t="str">
        <f>IF($G2394="","",INDEX('EDS Lookup'!$B$6:$B$2819,$G2394))</f>
        <v/>
      </c>
      <c r="C2394" s="17"/>
      <c r="D2394" s="6"/>
      <c r="E2394" s="7" t="str">
        <f>IF($G2394="","",INDEX('EDS Lookup'!$F$6:$F$2819,$G2394))</f>
        <v/>
      </c>
      <c r="F2394" s="8" t="str">
        <f>IF($G2394="","",INDEX('EDS Lookup'!$G$6:$G$2819,$G2394))</f>
        <v/>
      </c>
      <c r="G2394" t="str">
        <f>IF(2371&lt;=$B$4,IFERROR(MATCH(2371,'EDS Lookup'!$H$6:$H$2819,0),""),"")</f>
        <v/>
      </c>
      <c r="H2394" t="str">
        <f t="shared" si="37"/>
        <v/>
      </c>
    </row>
    <row r="2395" spans="1:8" ht="19.95" customHeight="1">
      <c r="A2395" s="5" t="str">
        <f>IF($G2395="","",INDEX('EDS Lookup'!$D$6:$D$2819,$G2395))</f>
        <v/>
      </c>
      <c r="B2395" s="5" t="str">
        <f>IF($G2395="","",INDEX('EDS Lookup'!$B$6:$B$2819,$G2395))</f>
        <v/>
      </c>
      <c r="C2395" s="17"/>
      <c r="D2395" s="6"/>
      <c r="E2395" s="7" t="str">
        <f>IF($G2395="","",INDEX('EDS Lookup'!$F$6:$F$2819,$G2395))</f>
        <v/>
      </c>
      <c r="F2395" s="8" t="str">
        <f>IF($G2395="","",INDEX('EDS Lookup'!$G$6:$G$2819,$G2395))</f>
        <v/>
      </c>
      <c r="G2395" t="str">
        <f>IF(2372&lt;=$B$4,IFERROR(MATCH(2372,'EDS Lookup'!$H$6:$H$2819,0),""),"")</f>
        <v/>
      </c>
      <c r="H2395" t="str">
        <f t="shared" si="37"/>
        <v/>
      </c>
    </row>
    <row r="2396" spans="1:8" ht="19.95" customHeight="1">
      <c r="A2396" s="5" t="str">
        <f>IF($G2396="","",INDEX('EDS Lookup'!$D$6:$D$2819,$G2396))</f>
        <v/>
      </c>
      <c r="B2396" s="5" t="str">
        <f>IF($G2396="","",INDEX('EDS Lookup'!$B$6:$B$2819,$G2396))</f>
        <v/>
      </c>
      <c r="C2396" s="17"/>
      <c r="D2396" s="6"/>
      <c r="E2396" s="7" t="str">
        <f>IF($G2396="","",INDEX('EDS Lookup'!$F$6:$F$2819,$G2396))</f>
        <v/>
      </c>
      <c r="F2396" s="8" t="str">
        <f>IF($G2396="","",INDEX('EDS Lookup'!$G$6:$G$2819,$G2396))</f>
        <v/>
      </c>
      <c r="G2396" t="str">
        <f>IF(2373&lt;=$B$4,IFERROR(MATCH(2373,'EDS Lookup'!$H$6:$H$2819,0),""),"")</f>
        <v/>
      </c>
      <c r="H2396" t="str">
        <f t="shared" si="37"/>
        <v/>
      </c>
    </row>
    <row r="2397" spans="1:8" ht="19.95" customHeight="1">
      <c r="A2397" s="5" t="str">
        <f>IF($G2397="","",INDEX('EDS Lookup'!$D$6:$D$2819,$G2397))</f>
        <v/>
      </c>
      <c r="B2397" s="5" t="str">
        <f>IF($G2397="","",INDEX('EDS Lookup'!$B$6:$B$2819,$G2397))</f>
        <v/>
      </c>
      <c r="C2397" s="17"/>
      <c r="D2397" s="6"/>
      <c r="E2397" s="7" t="str">
        <f>IF($G2397="","",INDEX('EDS Lookup'!$F$6:$F$2819,$G2397))</f>
        <v/>
      </c>
      <c r="F2397" s="8" t="str">
        <f>IF($G2397="","",INDEX('EDS Lookup'!$G$6:$G$2819,$G2397))</f>
        <v/>
      </c>
      <c r="G2397" t="str">
        <f>IF(2374&lt;=$B$4,IFERROR(MATCH(2374,'EDS Lookup'!$H$6:$H$2819,0),""),"")</f>
        <v/>
      </c>
      <c r="H2397" t="str">
        <f t="shared" si="37"/>
        <v/>
      </c>
    </row>
    <row r="2398" spans="1:8" ht="19.95" customHeight="1">
      <c r="A2398" s="5" t="str">
        <f>IF($G2398="","",INDEX('EDS Lookup'!$D$6:$D$2819,$G2398))</f>
        <v/>
      </c>
      <c r="B2398" s="5" t="str">
        <f>IF($G2398="","",INDEX('EDS Lookup'!$B$6:$B$2819,$G2398))</f>
        <v/>
      </c>
      <c r="C2398" s="17"/>
      <c r="D2398" s="6"/>
      <c r="E2398" s="7" t="str">
        <f>IF($G2398="","",INDEX('EDS Lookup'!$F$6:$F$2819,$G2398))</f>
        <v/>
      </c>
      <c r="F2398" s="8" t="str">
        <f>IF($G2398="","",INDEX('EDS Lookup'!$G$6:$G$2819,$G2398))</f>
        <v/>
      </c>
      <c r="G2398" t="str">
        <f>IF(2375&lt;=$B$4,IFERROR(MATCH(2375,'EDS Lookup'!$H$6:$H$2819,0),""),"")</f>
        <v/>
      </c>
      <c r="H2398" t="str">
        <f t="shared" si="37"/>
        <v/>
      </c>
    </row>
    <row r="2399" spans="1:8" ht="19.95" customHeight="1">
      <c r="A2399" s="5" t="str">
        <f>IF($G2399="","",INDEX('EDS Lookup'!$D$6:$D$2819,$G2399))</f>
        <v/>
      </c>
      <c r="B2399" s="5" t="str">
        <f>IF($G2399="","",INDEX('EDS Lookup'!$B$6:$B$2819,$G2399))</f>
        <v/>
      </c>
      <c r="C2399" s="17"/>
      <c r="D2399" s="6"/>
      <c r="E2399" s="7" t="str">
        <f>IF($G2399="","",INDEX('EDS Lookup'!$F$6:$F$2819,$G2399))</f>
        <v/>
      </c>
      <c r="F2399" s="8" t="str">
        <f>IF($G2399="","",INDEX('EDS Lookup'!$G$6:$G$2819,$G2399))</f>
        <v/>
      </c>
      <c r="G2399" t="str">
        <f>IF(2376&lt;=$B$4,IFERROR(MATCH(2376,'EDS Lookup'!$H$6:$H$2819,0),""),"")</f>
        <v/>
      </c>
      <c r="H2399" t="str">
        <f t="shared" si="37"/>
        <v/>
      </c>
    </row>
    <row r="2400" spans="1:8" ht="19.95" customHeight="1">
      <c r="A2400" s="5" t="str">
        <f>IF($G2400="","",INDEX('EDS Lookup'!$D$6:$D$2819,$G2400))</f>
        <v/>
      </c>
      <c r="B2400" s="5" t="str">
        <f>IF($G2400="","",INDEX('EDS Lookup'!$B$6:$B$2819,$G2400))</f>
        <v/>
      </c>
      <c r="C2400" s="17"/>
      <c r="D2400" s="6"/>
      <c r="E2400" s="7" t="str">
        <f>IF($G2400="","",INDEX('EDS Lookup'!$F$6:$F$2819,$G2400))</f>
        <v/>
      </c>
      <c r="F2400" s="8" t="str">
        <f>IF($G2400="","",INDEX('EDS Lookup'!$G$6:$G$2819,$G2400))</f>
        <v/>
      </c>
      <c r="G2400" t="str">
        <f>IF(2377&lt;=$B$4,IFERROR(MATCH(2377,'EDS Lookup'!$H$6:$H$2819,0),""),"")</f>
        <v/>
      </c>
      <c r="H2400" t="str">
        <f t="shared" si="37"/>
        <v/>
      </c>
    </row>
    <row r="2401" spans="1:8" ht="19.95" customHeight="1">
      <c r="A2401" s="5" t="str">
        <f>IF($G2401="","",INDEX('EDS Lookup'!$D$6:$D$2819,$G2401))</f>
        <v/>
      </c>
      <c r="B2401" s="5" t="str">
        <f>IF($G2401="","",INDEX('EDS Lookup'!$B$6:$B$2819,$G2401))</f>
        <v/>
      </c>
      <c r="C2401" s="17"/>
      <c r="D2401" s="6"/>
      <c r="E2401" s="7" t="str">
        <f>IF($G2401="","",INDEX('EDS Lookup'!$F$6:$F$2819,$G2401))</f>
        <v/>
      </c>
      <c r="F2401" s="8" t="str">
        <f>IF($G2401="","",INDEX('EDS Lookup'!$G$6:$G$2819,$G2401))</f>
        <v/>
      </c>
      <c r="G2401" t="str">
        <f>IF(2378&lt;=$B$4,IFERROR(MATCH(2378,'EDS Lookup'!$H$6:$H$2819,0),""),"")</f>
        <v/>
      </c>
      <c r="H2401" t="str">
        <f t="shared" si="37"/>
        <v/>
      </c>
    </row>
    <row r="2402" spans="1:8" ht="19.95" customHeight="1">
      <c r="A2402" s="5" t="str">
        <f>IF($G2402="","",INDEX('EDS Lookup'!$D$6:$D$2819,$G2402))</f>
        <v/>
      </c>
      <c r="B2402" s="5" t="str">
        <f>IF($G2402="","",INDEX('EDS Lookup'!$B$6:$B$2819,$G2402))</f>
        <v/>
      </c>
      <c r="C2402" s="17"/>
      <c r="D2402" s="6"/>
      <c r="E2402" s="7" t="str">
        <f>IF($G2402="","",INDEX('EDS Lookup'!$F$6:$F$2819,$G2402))</f>
        <v/>
      </c>
      <c r="F2402" s="8" t="str">
        <f>IF($G2402="","",INDEX('EDS Lookup'!$G$6:$G$2819,$G2402))</f>
        <v/>
      </c>
      <c r="G2402" t="str">
        <f>IF(2379&lt;=$B$4,IFERROR(MATCH(2379,'EDS Lookup'!$H$6:$H$2819,0),""),"")</f>
        <v/>
      </c>
      <c r="H2402" t="str">
        <f t="shared" si="37"/>
        <v/>
      </c>
    </row>
    <row r="2403" spans="1:8" ht="19.95" customHeight="1">
      <c r="A2403" s="5" t="str">
        <f>IF($G2403="","",INDEX('EDS Lookup'!$D$6:$D$2819,$G2403))</f>
        <v/>
      </c>
      <c r="B2403" s="5" t="str">
        <f>IF($G2403="","",INDEX('EDS Lookup'!$B$6:$B$2819,$G2403))</f>
        <v/>
      </c>
      <c r="C2403" s="17"/>
      <c r="D2403" s="6"/>
      <c r="E2403" s="7" t="str">
        <f>IF($G2403="","",INDEX('EDS Lookup'!$F$6:$F$2819,$G2403))</f>
        <v/>
      </c>
      <c r="F2403" s="8" t="str">
        <f>IF($G2403="","",INDEX('EDS Lookup'!$G$6:$G$2819,$G2403))</f>
        <v/>
      </c>
      <c r="G2403" t="str">
        <f>IF(2380&lt;=$B$4,IFERROR(MATCH(2380,'EDS Lookup'!$H$6:$H$2819,0),""),"")</f>
        <v/>
      </c>
      <c r="H2403" t="str">
        <f t="shared" si="37"/>
        <v/>
      </c>
    </row>
    <row r="2404" spans="1:8" ht="19.95" customHeight="1">
      <c r="A2404" s="5" t="str">
        <f>IF($G2404="","",INDEX('EDS Lookup'!$D$6:$D$2819,$G2404))</f>
        <v/>
      </c>
      <c r="B2404" s="5" t="str">
        <f>IF($G2404="","",INDEX('EDS Lookup'!$B$6:$B$2819,$G2404))</f>
        <v/>
      </c>
      <c r="C2404" s="17"/>
      <c r="D2404" s="6"/>
      <c r="E2404" s="7" t="str">
        <f>IF($G2404="","",INDEX('EDS Lookup'!$F$6:$F$2819,$G2404))</f>
        <v/>
      </c>
      <c r="F2404" s="8" t="str">
        <f>IF($G2404="","",INDEX('EDS Lookup'!$G$6:$G$2819,$G2404))</f>
        <v/>
      </c>
      <c r="G2404" t="str">
        <f>IF(2381&lt;=$B$4,IFERROR(MATCH(2381,'EDS Lookup'!$H$6:$H$2819,0),""),"")</f>
        <v/>
      </c>
      <c r="H2404" t="str">
        <f t="shared" si="37"/>
        <v/>
      </c>
    </row>
    <row r="2405" spans="1:8" ht="19.95" customHeight="1">
      <c r="A2405" s="5" t="str">
        <f>IF($G2405="","",INDEX('EDS Lookup'!$D$6:$D$2819,$G2405))</f>
        <v/>
      </c>
      <c r="B2405" s="5" t="str">
        <f>IF($G2405="","",INDEX('EDS Lookup'!$B$6:$B$2819,$G2405))</f>
        <v/>
      </c>
      <c r="C2405" s="17"/>
      <c r="D2405" s="6"/>
      <c r="E2405" s="7" t="str">
        <f>IF($G2405="","",INDEX('EDS Lookup'!$F$6:$F$2819,$G2405))</f>
        <v/>
      </c>
      <c r="F2405" s="8" t="str">
        <f>IF($G2405="","",INDEX('EDS Lookup'!$G$6:$G$2819,$G2405))</f>
        <v/>
      </c>
      <c r="G2405" t="str">
        <f>IF(2382&lt;=$B$4,IFERROR(MATCH(2382,'EDS Lookup'!$H$6:$H$2819,0),""),"")</f>
        <v/>
      </c>
      <c r="H2405" t="str">
        <f t="shared" si="37"/>
        <v/>
      </c>
    </row>
    <row r="2406" spans="1:8" ht="19.95" customHeight="1">
      <c r="A2406" s="5" t="str">
        <f>IF($G2406="","",INDEX('EDS Lookup'!$D$6:$D$2819,$G2406))</f>
        <v/>
      </c>
      <c r="B2406" s="5" t="str">
        <f>IF($G2406="","",INDEX('EDS Lookup'!$B$6:$B$2819,$G2406))</f>
        <v/>
      </c>
      <c r="C2406" s="17"/>
      <c r="D2406" s="6"/>
      <c r="E2406" s="7" t="str">
        <f>IF($G2406="","",INDEX('EDS Lookup'!$F$6:$F$2819,$G2406))</f>
        <v/>
      </c>
      <c r="F2406" s="8" t="str">
        <f>IF($G2406="","",INDEX('EDS Lookup'!$G$6:$G$2819,$G2406))</f>
        <v/>
      </c>
      <c r="G2406" t="str">
        <f>IF(2383&lt;=$B$4,IFERROR(MATCH(2383,'EDS Lookup'!$H$6:$H$2819,0),""),"")</f>
        <v/>
      </c>
      <c r="H2406" t="str">
        <f t="shared" si="37"/>
        <v/>
      </c>
    </row>
    <row r="2407" spans="1:8" ht="19.95" customHeight="1">
      <c r="A2407" s="5" t="str">
        <f>IF($G2407="","",INDEX('EDS Lookup'!$D$6:$D$2819,$G2407))</f>
        <v/>
      </c>
      <c r="B2407" s="5" t="str">
        <f>IF($G2407="","",INDEX('EDS Lookup'!$B$6:$B$2819,$G2407))</f>
        <v/>
      </c>
      <c r="C2407" s="17"/>
      <c r="D2407" s="6"/>
      <c r="E2407" s="7" t="str">
        <f>IF($G2407="","",INDEX('EDS Lookup'!$F$6:$F$2819,$G2407))</f>
        <v/>
      </c>
      <c r="F2407" s="8" t="str">
        <f>IF($G2407="","",INDEX('EDS Lookup'!$G$6:$G$2819,$G2407))</f>
        <v/>
      </c>
      <c r="G2407" t="str">
        <f>IF(2384&lt;=$B$4,IFERROR(MATCH(2384,'EDS Lookup'!$H$6:$H$2819,0),""),"")</f>
        <v/>
      </c>
      <c r="H2407" t="str">
        <f t="shared" si="37"/>
        <v/>
      </c>
    </row>
    <row r="2408" spans="1:8" ht="19.95" customHeight="1">
      <c r="A2408" s="5" t="str">
        <f>IF($G2408="","",INDEX('EDS Lookup'!$D$6:$D$2819,$G2408))</f>
        <v/>
      </c>
      <c r="B2408" s="5" t="str">
        <f>IF($G2408="","",INDEX('EDS Lookup'!$B$6:$B$2819,$G2408))</f>
        <v/>
      </c>
      <c r="C2408" s="17"/>
      <c r="D2408" s="6"/>
      <c r="E2408" s="7" t="str">
        <f>IF($G2408="","",INDEX('EDS Lookup'!$F$6:$F$2819,$G2408))</f>
        <v/>
      </c>
      <c r="F2408" s="8" t="str">
        <f>IF($G2408="","",INDEX('EDS Lookup'!$G$6:$G$2819,$G2408))</f>
        <v/>
      </c>
      <c r="G2408" t="str">
        <f>IF(2385&lt;=$B$4,IFERROR(MATCH(2385,'EDS Lookup'!$H$6:$H$2819,0),""),"")</f>
        <v/>
      </c>
      <c r="H2408" t="str">
        <f t="shared" si="37"/>
        <v/>
      </c>
    </row>
    <row r="2409" spans="1:8" ht="19.95" customHeight="1">
      <c r="A2409" s="5" t="str">
        <f>IF($G2409="","",INDEX('EDS Lookup'!$D$6:$D$2819,$G2409))</f>
        <v/>
      </c>
      <c r="B2409" s="5" t="str">
        <f>IF($G2409="","",INDEX('EDS Lookup'!$B$6:$B$2819,$G2409))</f>
        <v/>
      </c>
      <c r="C2409" s="17"/>
      <c r="D2409" s="6"/>
      <c r="E2409" s="7" t="str">
        <f>IF($G2409="","",INDEX('EDS Lookup'!$F$6:$F$2819,$G2409))</f>
        <v/>
      </c>
      <c r="F2409" s="8" t="str">
        <f>IF($G2409="","",INDEX('EDS Lookup'!$G$6:$G$2819,$G2409))</f>
        <v/>
      </c>
      <c r="G2409" t="str">
        <f>IF(2386&lt;=$B$4,IFERROR(MATCH(2386,'EDS Lookup'!$H$6:$H$2819,0),""),"")</f>
        <v/>
      </c>
      <c r="H2409" t="str">
        <f t="shared" si="37"/>
        <v/>
      </c>
    </row>
    <row r="2410" spans="1:8" ht="19.95" customHeight="1">
      <c r="A2410" s="5" t="str">
        <f>IF($G2410="","",INDEX('EDS Lookup'!$D$6:$D$2819,$G2410))</f>
        <v/>
      </c>
      <c r="B2410" s="5" t="str">
        <f>IF($G2410="","",INDEX('EDS Lookup'!$B$6:$B$2819,$G2410))</f>
        <v/>
      </c>
      <c r="C2410" s="17"/>
      <c r="D2410" s="6"/>
      <c r="E2410" s="7" t="str">
        <f>IF($G2410="","",INDEX('EDS Lookup'!$F$6:$F$2819,$G2410))</f>
        <v/>
      </c>
      <c r="F2410" s="8" t="str">
        <f>IF($G2410="","",INDEX('EDS Lookup'!$G$6:$G$2819,$G2410))</f>
        <v/>
      </c>
      <c r="G2410" t="str">
        <f>IF(2387&lt;=$B$4,IFERROR(MATCH(2387,'EDS Lookup'!$H$6:$H$2819,0),""),"")</f>
        <v/>
      </c>
      <c r="H2410" t="str">
        <f t="shared" si="37"/>
        <v/>
      </c>
    </row>
    <row r="2411" spans="1:8" ht="19.95" customHeight="1">
      <c r="A2411" s="5" t="str">
        <f>IF($G2411="","",INDEX('EDS Lookup'!$D$6:$D$2819,$G2411))</f>
        <v/>
      </c>
      <c r="B2411" s="5" t="str">
        <f>IF($G2411="","",INDEX('EDS Lookup'!$B$6:$B$2819,$G2411))</f>
        <v/>
      </c>
      <c r="C2411" s="17"/>
      <c r="D2411" s="6"/>
      <c r="E2411" s="7" t="str">
        <f>IF($G2411="","",INDEX('EDS Lookup'!$F$6:$F$2819,$G2411))</f>
        <v/>
      </c>
      <c r="F2411" s="8" t="str">
        <f>IF($G2411="","",INDEX('EDS Lookup'!$G$6:$G$2819,$G2411))</f>
        <v/>
      </c>
      <c r="G2411" t="str">
        <f>IF(2388&lt;=$B$4,IFERROR(MATCH(2388,'EDS Lookup'!$H$6:$H$2819,0),""),"")</f>
        <v/>
      </c>
      <c r="H2411" t="str">
        <f t="shared" si="37"/>
        <v/>
      </c>
    </row>
    <row r="2412" spans="1:8" ht="19.95" customHeight="1">
      <c r="A2412" s="5" t="str">
        <f>IF($G2412="","",INDEX('EDS Lookup'!$D$6:$D$2819,$G2412))</f>
        <v/>
      </c>
      <c r="B2412" s="5" t="str">
        <f>IF($G2412="","",INDEX('EDS Lookup'!$B$6:$B$2819,$G2412))</f>
        <v/>
      </c>
      <c r="C2412" s="17"/>
      <c r="D2412" s="6"/>
      <c r="E2412" s="7" t="str">
        <f>IF($G2412="","",INDEX('EDS Lookup'!$F$6:$F$2819,$G2412))</f>
        <v/>
      </c>
      <c r="F2412" s="8" t="str">
        <f>IF($G2412="","",INDEX('EDS Lookup'!$G$6:$G$2819,$G2412))</f>
        <v/>
      </c>
      <c r="G2412" t="str">
        <f>IF(2389&lt;=$B$4,IFERROR(MATCH(2389,'EDS Lookup'!$H$6:$H$2819,0),""),"")</f>
        <v/>
      </c>
      <c r="H2412" t="str">
        <f t="shared" si="37"/>
        <v/>
      </c>
    </row>
    <row r="2413" spans="1:8" ht="19.95" customHeight="1">
      <c r="A2413" s="5" t="str">
        <f>IF($G2413="","",INDEX('EDS Lookup'!$D$6:$D$2819,$G2413))</f>
        <v/>
      </c>
      <c r="B2413" s="5" t="str">
        <f>IF($G2413="","",INDEX('EDS Lookup'!$B$6:$B$2819,$G2413))</f>
        <v/>
      </c>
      <c r="C2413" s="17"/>
      <c r="D2413" s="6"/>
      <c r="E2413" s="7" t="str">
        <f>IF($G2413="","",INDEX('EDS Lookup'!$F$6:$F$2819,$G2413))</f>
        <v/>
      </c>
      <c r="F2413" s="8" t="str">
        <f>IF($G2413="","",INDEX('EDS Lookup'!$G$6:$G$2819,$G2413))</f>
        <v/>
      </c>
      <c r="G2413" t="str">
        <f>IF(2390&lt;=$B$4,IFERROR(MATCH(2390,'EDS Lookup'!$H$6:$H$2819,0),""),"")</f>
        <v/>
      </c>
      <c r="H2413" t="str">
        <f t="shared" si="37"/>
        <v/>
      </c>
    </row>
    <row r="2414" spans="1:8" ht="19.95" customHeight="1">
      <c r="A2414" s="5" t="str">
        <f>IF($G2414="","",INDEX('EDS Lookup'!$D$6:$D$2819,$G2414))</f>
        <v/>
      </c>
      <c r="B2414" s="5" t="str">
        <f>IF($G2414="","",INDEX('EDS Lookup'!$B$6:$B$2819,$G2414))</f>
        <v/>
      </c>
      <c r="C2414" s="17"/>
      <c r="D2414" s="6"/>
      <c r="E2414" s="7" t="str">
        <f>IF($G2414="","",INDEX('EDS Lookup'!$F$6:$F$2819,$G2414))</f>
        <v/>
      </c>
      <c r="F2414" s="8" t="str">
        <f>IF($G2414="","",INDEX('EDS Lookup'!$G$6:$G$2819,$G2414))</f>
        <v/>
      </c>
      <c r="G2414" t="str">
        <f>IF(2391&lt;=$B$4,IFERROR(MATCH(2391,'EDS Lookup'!$H$6:$H$2819,0),""),"")</f>
        <v/>
      </c>
      <c r="H2414" t="str">
        <f t="shared" si="37"/>
        <v/>
      </c>
    </row>
    <row r="2415" spans="1:8" ht="19.95" customHeight="1">
      <c r="A2415" s="5" t="str">
        <f>IF($G2415="","",INDEX('EDS Lookup'!$D$6:$D$2819,$G2415))</f>
        <v/>
      </c>
      <c r="B2415" s="5" t="str">
        <f>IF($G2415="","",INDEX('EDS Lookup'!$B$6:$B$2819,$G2415))</f>
        <v/>
      </c>
      <c r="C2415" s="17"/>
      <c r="D2415" s="6"/>
      <c r="E2415" s="7" t="str">
        <f>IF($G2415="","",INDEX('EDS Lookup'!$F$6:$F$2819,$G2415))</f>
        <v/>
      </c>
      <c r="F2415" s="8" t="str">
        <f>IF($G2415="","",INDEX('EDS Lookup'!$G$6:$G$2819,$G2415))</f>
        <v/>
      </c>
      <c r="G2415" t="str">
        <f>IF(2392&lt;=$B$4,IFERROR(MATCH(2392,'EDS Lookup'!$H$6:$H$2819,0),""),"")</f>
        <v/>
      </c>
      <c r="H2415" t="str">
        <f t="shared" si="37"/>
        <v/>
      </c>
    </row>
    <row r="2416" spans="1:8" ht="19.95" customHeight="1">
      <c r="A2416" s="5" t="str">
        <f>IF($G2416="","",INDEX('EDS Lookup'!$D$6:$D$2819,$G2416))</f>
        <v/>
      </c>
      <c r="B2416" s="5" t="str">
        <f>IF($G2416="","",INDEX('EDS Lookup'!$B$6:$B$2819,$G2416))</f>
        <v/>
      </c>
      <c r="C2416" s="17"/>
      <c r="D2416" s="6"/>
      <c r="E2416" s="7" t="str">
        <f>IF($G2416="","",INDEX('EDS Lookup'!$F$6:$F$2819,$G2416))</f>
        <v/>
      </c>
      <c r="F2416" s="8" t="str">
        <f>IF($G2416="","",INDEX('EDS Lookup'!$G$6:$G$2819,$G2416))</f>
        <v/>
      </c>
      <c r="G2416" t="str">
        <f>IF(2393&lt;=$B$4,IFERROR(MATCH(2393,'EDS Lookup'!$H$6:$H$2819,0),""),"")</f>
        <v/>
      </c>
      <c r="H2416" t="str">
        <f t="shared" si="37"/>
        <v/>
      </c>
    </row>
    <row r="2417" spans="1:8" ht="19.95" customHeight="1">
      <c r="A2417" s="5" t="str">
        <f>IF($G2417="","",INDEX('EDS Lookup'!$D$6:$D$2819,$G2417))</f>
        <v/>
      </c>
      <c r="B2417" s="5" t="str">
        <f>IF($G2417="","",INDEX('EDS Lookup'!$B$6:$B$2819,$G2417))</f>
        <v/>
      </c>
      <c r="C2417" s="17"/>
      <c r="D2417" s="6"/>
      <c r="E2417" s="7" t="str">
        <f>IF($G2417="","",INDEX('EDS Lookup'!$F$6:$F$2819,$G2417))</f>
        <v/>
      </c>
      <c r="F2417" s="8" t="str">
        <f>IF($G2417="","",INDEX('EDS Lookup'!$G$6:$G$2819,$G2417))</f>
        <v/>
      </c>
      <c r="G2417" t="str">
        <f>IF(2394&lt;=$B$4,IFERROR(MATCH(2394,'EDS Lookup'!$H$6:$H$2819,0),""),"")</f>
        <v/>
      </c>
      <c r="H2417" t="str">
        <f t="shared" si="37"/>
        <v/>
      </c>
    </row>
    <row r="2418" spans="1:8" ht="19.95" customHeight="1">
      <c r="A2418" s="5" t="str">
        <f>IF($G2418="","",INDEX('EDS Lookup'!$D$6:$D$2819,$G2418))</f>
        <v/>
      </c>
      <c r="B2418" s="5" t="str">
        <f>IF($G2418="","",INDEX('EDS Lookup'!$B$6:$B$2819,$G2418))</f>
        <v/>
      </c>
      <c r="C2418" s="17"/>
      <c r="D2418" s="6"/>
      <c r="E2418" s="7" t="str">
        <f>IF($G2418="","",INDEX('EDS Lookup'!$F$6:$F$2819,$G2418))</f>
        <v/>
      </c>
      <c r="F2418" s="8" t="str">
        <f>IF($G2418="","",INDEX('EDS Lookup'!$G$6:$G$2819,$G2418))</f>
        <v/>
      </c>
      <c r="G2418" t="str">
        <f>IF(2395&lt;=$B$4,IFERROR(MATCH(2395,'EDS Lookup'!$H$6:$H$2819,0),""),"")</f>
        <v/>
      </c>
      <c r="H2418" t="str">
        <f t="shared" si="37"/>
        <v/>
      </c>
    </row>
    <row r="2419" spans="1:8" ht="19.95" customHeight="1">
      <c r="A2419" s="5" t="str">
        <f>IF($G2419="","",INDEX('EDS Lookup'!$D$6:$D$2819,$G2419))</f>
        <v/>
      </c>
      <c r="B2419" s="5" t="str">
        <f>IF($G2419="","",INDEX('EDS Lookup'!$B$6:$B$2819,$G2419))</f>
        <v/>
      </c>
      <c r="C2419" s="17"/>
      <c r="D2419" s="6"/>
      <c r="E2419" s="7" t="str">
        <f>IF($G2419="","",INDEX('EDS Lookup'!$F$6:$F$2819,$G2419))</f>
        <v/>
      </c>
      <c r="F2419" s="8" t="str">
        <f>IF($G2419="","",INDEX('EDS Lookup'!$G$6:$G$2819,$G2419))</f>
        <v/>
      </c>
      <c r="G2419" t="str">
        <f>IF(2396&lt;=$B$4,IFERROR(MATCH(2396,'EDS Lookup'!$H$6:$H$2819,0),""),"")</f>
        <v/>
      </c>
      <c r="H2419" t="str">
        <f t="shared" si="37"/>
        <v/>
      </c>
    </row>
    <row r="2420" spans="1:8" ht="19.95" customHeight="1">
      <c r="A2420" s="5" t="str">
        <f>IF($G2420="","",INDEX('EDS Lookup'!$D$6:$D$2819,$G2420))</f>
        <v/>
      </c>
      <c r="B2420" s="5" t="str">
        <f>IF($G2420="","",INDEX('EDS Lookup'!$B$6:$B$2819,$G2420))</f>
        <v/>
      </c>
      <c r="C2420" s="17"/>
      <c r="D2420" s="6"/>
      <c r="E2420" s="7" t="str">
        <f>IF($G2420="","",INDEX('EDS Lookup'!$F$6:$F$2819,$G2420))</f>
        <v/>
      </c>
      <c r="F2420" s="8" t="str">
        <f>IF($G2420="","",INDEX('EDS Lookup'!$G$6:$G$2819,$G2420))</f>
        <v/>
      </c>
      <c r="G2420" t="str">
        <f>IF(2397&lt;=$B$4,IFERROR(MATCH(2397,'EDS Lookup'!$H$6:$H$2819,0),""),"")</f>
        <v/>
      </c>
      <c r="H2420" t="str">
        <f t="shared" si="37"/>
        <v/>
      </c>
    </row>
    <row r="2421" spans="1:8" ht="19.95" customHeight="1">
      <c r="A2421" s="5" t="str">
        <f>IF($G2421="","",INDEX('EDS Lookup'!$D$6:$D$2819,$G2421))</f>
        <v/>
      </c>
      <c r="B2421" s="5" t="str">
        <f>IF($G2421="","",INDEX('EDS Lookup'!$B$6:$B$2819,$G2421))</f>
        <v/>
      </c>
      <c r="C2421" s="17"/>
      <c r="D2421" s="6"/>
      <c r="E2421" s="7" t="str">
        <f>IF($G2421="","",INDEX('EDS Lookup'!$F$6:$F$2819,$G2421))</f>
        <v/>
      </c>
      <c r="F2421" s="8" t="str">
        <f>IF($G2421="","",INDEX('EDS Lookup'!$G$6:$G$2819,$G2421))</f>
        <v/>
      </c>
      <c r="G2421" t="str">
        <f>IF(2398&lt;=$B$4,IFERROR(MATCH(2398,'EDS Lookup'!$H$6:$H$2819,0),""),"")</f>
        <v/>
      </c>
      <c r="H2421" t="str">
        <f t="shared" si="37"/>
        <v/>
      </c>
    </row>
    <row r="2422" spans="1:8" ht="19.95" customHeight="1">
      <c r="A2422" s="5" t="str">
        <f>IF($G2422="","",INDEX('EDS Lookup'!$D$6:$D$2819,$G2422))</f>
        <v/>
      </c>
      <c r="B2422" s="5" t="str">
        <f>IF($G2422="","",INDEX('EDS Lookup'!$B$6:$B$2819,$G2422))</f>
        <v/>
      </c>
      <c r="C2422" s="17"/>
      <c r="D2422" s="6"/>
      <c r="E2422" s="7" t="str">
        <f>IF($G2422="","",INDEX('EDS Lookup'!$F$6:$F$2819,$G2422))</f>
        <v/>
      </c>
      <c r="F2422" s="8" t="str">
        <f>IF($G2422="","",INDEX('EDS Lookup'!$G$6:$G$2819,$G2422))</f>
        <v/>
      </c>
      <c r="G2422" t="str">
        <f>IF(2399&lt;=$B$4,IFERROR(MATCH(2399,'EDS Lookup'!$H$6:$H$2819,0),""),"")</f>
        <v/>
      </c>
      <c r="H2422" t="str">
        <f t="shared" si="37"/>
        <v/>
      </c>
    </row>
    <row r="2423" spans="1:8" ht="19.95" customHeight="1">
      <c r="A2423" s="5" t="str">
        <f>IF($G2423="","",INDEX('EDS Lookup'!$D$6:$D$2819,$G2423))</f>
        <v/>
      </c>
      <c r="B2423" s="5" t="str">
        <f>IF($G2423="","",INDEX('EDS Lookup'!$B$6:$B$2819,$G2423))</f>
        <v/>
      </c>
      <c r="C2423" s="17"/>
      <c r="D2423" s="6"/>
      <c r="E2423" s="7" t="str">
        <f>IF($G2423="","",INDEX('EDS Lookup'!$F$6:$F$2819,$G2423))</f>
        <v/>
      </c>
      <c r="F2423" s="8" t="str">
        <f>IF($G2423="","",INDEX('EDS Lookup'!$G$6:$G$2819,$G2423))</f>
        <v/>
      </c>
      <c r="G2423" t="str">
        <f>IF(2400&lt;=$B$4,IFERROR(MATCH(2400,'EDS Lookup'!$H$6:$H$2819,0),""),"")</f>
        <v/>
      </c>
      <c r="H2423" t="str">
        <f t="shared" si="37"/>
        <v/>
      </c>
    </row>
    <row r="2424" spans="1:8" ht="19.95" customHeight="1">
      <c r="A2424" s="5" t="str">
        <f>IF($G2424="","",INDEX('EDS Lookup'!$D$6:$D$2819,$G2424))</f>
        <v/>
      </c>
      <c r="B2424" s="5" t="str">
        <f>IF($G2424="","",INDEX('EDS Lookup'!$B$6:$B$2819,$G2424))</f>
        <v/>
      </c>
      <c r="C2424" s="17"/>
      <c r="D2424" s="6"/>
      <c r="E2424" s="7" t="str">
        <f>IF($G2424="","",INDEX('EDS Lookup'!$F$6:$F$2819,$G2424))</f>
        <v/>
      </c>
      <c r="F2424" s="8" t="str">
        <f>IF($G2424="","",INDEX('EDS Lookup'!$G$6:$G$2819,$G2424))</f>
        <v/>
      </c>
      <c r="G2424" t="str">
        <f>IF(2401&lt;=$B$4,IFERROR(MATCH(2401,'EDS Lookup'!$H$6:$H$2819,0),""),"")</f>
        <v/>
      </c>
      <c r="H2424" t="str">
        <f t="shared" si="37"/>
        <v/>
      </c>
    </row>
    <row r="2425" spans="1:8" ht="19.95" customHeight="1">
      <c r="A2425" s="5" t="str">
        <f>IF($G2425="","",INDEX('EDS Lookup'!$D$6:$D$2819,$G2425))</f>
        <v/>
      </c>
      <c r="B2425" s="5" t="str">
        <f>IF($G2425="","",INDEX('EDS Lookup'!$B$6:$B$2819,$G2425))</f>
        <v/>
      </c>
      <c r="C2425" s="17"/>
      <c r="D2425" s="6"/>
      <c r="E2425" s="7" t="str">
        <f>IF($G2425="","",INDEX('EDS Lookup'!$F$6:$F$2819,$G2425))</f>
        <v/>
      </c>
      <c r="F2425" s="8" t="str">
        <f>IF($G2425="","",INDEX('EDS Lookup'!$G$6:$G$2819,$G2425))</f>
        <v/>
      </c>
      <c r="G2425" t="str">
        <f>IF(2402&lt;=$B$4,IFERROR(MATCH(2402,'EDS Lookup'!$H$6:$H$2819,0),""),"")</f>
        <v/>
      </c>
      <c r="H2425" t="str">
        <f t="shared" si="37"/>
        <v/>
      </c>
    </row>
    <row r="2426" spans="1:8" ht="19.95" customHeight="1">
      <c r="A2426" s="5" t="str">
        <f>IF($G2426="","",INDEX('EDS Lookup'!$D$6:$D$2819,$G2426))</f>
        <v/>
      </c>
      <c r="B2426" s="5" t="str">
        <f>IF($G2426="","",INDEX('EDS Lookup'!$B$6:$B$2819,$G2426))</f>
        <v/>
      </c>
      <c r="C2426" s="17"/>
      <c r="D2426" s="6"/>
      <c r="E2426" s="7" t="str">
        <f>IF($G2426="","",INDEX('EDS Lookup'!$F$6:$F$2819,$G2426))</f>
        <v/>
      </c>
      <c r="F2426" s="8" t="str">
        <f>IF($G2426="","",INDEX('EDS Lookup'!$G$6:$G$2819,$G2426))</f>
        <v/>
      </c>
      <c r="G2426" t="str">
        <f>IF(2403&lt;=$B$4,IFERROR(MATCH(2403,'EDS Lookup'!$H$6:$H$2819,0),""),"")</f>
        <v/>
      </c>
      <c r="H2426" t="str">
        <f t="shared" si="37"/>
        <v/>
      </c>
    </row>
    <row r="2427" spans="1:8" ht="19.95" customHeight="1">
      <c r="A2427" s="5" t="str">
        <f>IF($G2427="","",INDEX('EDS Lookup'!$D$6:$D$2819,$G2427))</f>
        <v/>
      </c>
      <c r="B2427" s="5" t="str">
        <f>IF($G2427="","",INDEX('EDS Lookup'!$B$6:$B$2819,$G2427))</f>
        <v/>
      </c>
      <c r="C2427" s="17"/>
      <c r="D2427" s="6"/>
      <c r="E2427" s="7" t="str">
        <f>IF($G2427="","",INDEX('EDS Lookup'!$F$6:$F$2819,$G2427))</f>
        <v/>
      </c>
      <c r="F2427" s="8" t="str">
        <f>IF($G2427="","",INDEX('EDS Lookup'!$G$6:$G$2819,$G2427))</f>
        <v/>
      </c>
      <c r="G2427" t="str">
        <f>IF(2404&lt;=$B$4,IFERROR(MATCH(2404,'EDS Lookup'!$H$6:$H$2819,0),""),"")</f>
        <v/>
      </c>
      <c r="H2427" t="str">
        <f t="shared" si="37"/>
        <v/>
      </c>
    </row>
    <row r="2428" spans="1:8" ht="19.95" customHeight="1">
      <c r="A2428" s="5" t="str">
        <f>IF($G2428="","",INDEX('EDS Lookup'!$D$6:$D$2819,$G2428))</f>
        <v/>
      </c>
      <c r="B2428" s="5" t="str">
        <f>IF($G2428="","",INDEX('EDS Lookup'!$B$6:$B$2819,$G2428))</f>
        <v/>
      </c>
      <c r="C2428" s="17"/>
      <c r="D2428" s="6"/>
      <c r="E2428" s="7" t="str">
        <f>IF($G2428="","",INDEX('EDS Lookup'!$F$6:$F$2819,$G2428))</f>
        <v/>
      </c>
      <c r="F2428" s="8" t="str">
        <f>IF($G2428="","",INDEX('EDS Lookup'!$G$6:$G$2819,$G2428))</f>
        <v/>
      </c>
      <c r="G2428" t="str">
        <f>IF(2405&lt;=$B$4,IFERROR(MATCH(2405,'EDS Lookup'!$H$6:$H$2819,0),""),"")</f>
        <v/>
      </c>
      <c r="H2428" t="str">
        <f t="shared" si="37"/>
        <v/>
      </c>
    </row>
    <row r="2429" spans="1:8" ht="19.95" customHeight="1">
      <c r="A2429" s="5" t="str">
        <f>IF($G2429="","",INDEX('EDS Lookup'!$D$6:$D$2819,$G2429))</f>
        <v/>
      </c>
      <c r="B2429" s="5" t="str">
        <f>IF($G2429="","",INDEX('EDS Lookup'!$B$6:$B$2819,$G2429))</f>
        <v/>
      </c>
      <c r="C2429" s="17"/>
      <c r="D2429" s="6"/>
      <c r="E2429" s="7" t="str">
        <f>IF($G2429="","",INDEX('EDS Lookup'!$F$6:$F$2819,$G2429))</f>
        <v/>
      </c>
      <c r="F2429" s="8" t="str">
        <f>IF($G2429="","",INDEX('EDS Lookup'!$G$6:$G$2819,$G2429))</f>
        <v/>
      </c>
      <c r="G2429" t="str">
        <f>IF(2406&lt;=$B$4,IFERROR(MATCH(2406,'EDS Lookup'!$H$6:$H$2819,0),""),"")</f>
        <v/>
      </c>
      <c r="H2429" t="str">
        <f t="shared" si="37"/>
        <v/>
      </c>
    </row>
    <row r="2430" spans="1:8" ht="19.95" customHeight="1">
      <c r="A2430" s="5" t="str">
        <f>IF($G2430="","",INDEX('EDS Lookup'!$D$6:$D$2819,$G2430))</f>
        <v/>
      </c>
      <c r="B2430" s="5" t="str">
        <f>IF($G2430="","",INDEX('EDS Lookup'!$B$6:$B$2819,$G2430))</f>
        <v/>
      </c>
      <c r="C2430" s="17"/>
      <c r="D2430" s="6"/>
      <c r="E2430" s="7" t="str">
        <f>IF($G2430="","",INDEX('EDS Lookup'!$F$6:$F$2819,$G2430))</f>
        <v/>
      </c>
      <c r="F2430" s="8" t="str">
        <f>IF($G2430="","",INDEX('EDS Lookup'!$G$6:$G$2819,$G2430))</f>
        <v/>
      </c>
      <c r="G2430" t="str">
        <f>IF(2407&lt;=$B$4,IFERROR(MATCH(2407,'EDS Lookup'!$H$6:$H$2819,0),""),"")</f>
        <v/>
      </c>
      <c r="H2430" t="str">
        <f t="shared" si="37"/>
        <v/>
      </c>
    </row>
    <row r="2431" spans="1:8" ht="19.95" customHeight="1">
      <c r="A2431" s="5" t="str">
        <f>IF($G2431="","",INDEX('EDS Lookup'!$D$6:$D$2819,$G2431))</f>
        <v/>
      </c>
      <c r="B2431" s="5" t="str">
        <f>IF($G2431="","",INDEX('EDS Lookup'!$B$6:$B$2819,$G2431))</f>
        <v/>
      </c>
      <c r="C2431" s="17"/>
      <c r="D2431" s="6"/>
      <c r="E2431" s="7" t="str">
        <f>IF($G2431="","",INDEX('EDS Lookup'!$F$6:$F$2819,$G2431))</f>
        <v/>
      </c>
      <c r="F2431" s="8" t="str">
        <f>IF($G2431="","",INDEX('EDS Lookup'!$G$6:$G$2819,$G2431))</f>
        <v/>
      </c>
      <c r="G2431" t="str">
        <f>IF(2408&lt;=$B$4,IFERROR(MATCH(2408,'EDS Lookup'!$H$6:$H$2819,0),""),"")</f>
        <v/>
      </c>
      <c r="H2431" t="str">
        <f t="shared" si="37"/>
        <v/>
      </c>
    </row>
    <row r="2432" spans="1:8" ht="19.95" customHeight="1">
      <c r="A2432" s="5" t="str">
        <f>IF($G2432="","",INDEX('EDS Lookup'!$D$6:$D$2819,$G2432))</f>
        <v/>
      </c>
      <c r="B2432" s="5" t="str">
        <f>IF($G2432="","",INDEX('EDS Lookup'!$B$6:$B$2819,$G2432))</f>
        <v/>
      </c>
      <c r="C2432" s="17"/>
      <c r="D2432" s="6"/>
      <c r="E2432" s="7" t="str">
        <f>IF($G2432="","",INDEX('EDS Lookup'!$F$6:$F$2819,$G2432))</f>
        <v/>
      </c>
      <c r="F2432" s="8" t="str">
        <f>IF($G2432="","",INDEX('EDS Lookup'!$G$6:$G$2819,$G2432))</f>
        <v/>
      </c>
      <c r="G2432" t="str">
        <f>IF(2409&lt;=$B$4,IFERROR(MATCH(2409,'EDS Lookup'!$H$6:$H$2819,0),""),"")</f>
        <v/>
      </c>
      <c r="H2432" t="str">
        <f t="shared" si="37"/>
        <v/>
      </c>
    </row>
    <row r="2433" spans="1:8" ht="19.95" customHeight="1">
      <c r="A2433" s="5" t="str">
        <f>IF($G2433="","",INDEX('EDS Lookup'!$D$6:$D$2819,$G2433))</f>
        <v/>
      </c>
      <c r="B2433" s="5" t="str">
        <f>IF($G2433="","",INDEX('EDS Lookup'!$B$6:$B$2819,$G2433))</f>
        <v/>
      </c>
      <c r="C2433" s="17"/>
      <c r="D2433" s="6"/>
      <c r="E2433" s="7" t="str">
        <f>IF($G2433="","",INDEX('EDS Lookup'!$F$6:$F$2819,$G2433))</f>
        <v/>
      </c>
      <c r="F2433" s="8" t="str">
        <f>IF($G2433="","",INDEX('EDS Lookup'!$G$6:$G$2819,$G2433))</f>
        <v/>
      </c>
      <c r="G2433" t="str">
        <f>IF(2410&lt;=$B$4,IFERROR(MATCH(2410,'EDS Lookup'!$H$6:$H$2819,0),""),"")</f>
        <v/>
      </c>
      <c r="H2433" t="str">
        <f t="shared" si="37"/>
        <v/>
      </c>
    </row>
    <row r="2434" spans="1:8" ht="19.95" customHeight="1">
      <c r="A2434" s="5" t="str">
        <f>IF($G2434="","",INDEX('EDS Lookup'!$D$6:$D$2819,$G2434))</f>
        <v/>
      </c>
      <c r="B2434" s="5" t="str">
        <f>IF($G2434="","",INDEX('EDS Lookup'!$B$6:$B$2819,$G2434))</f>
        <v/>
      </c>
      <c r="C2434" s="17"/>
      <c r="D2434" s="6"/>
      <c r="E2434" s="7" t="str">
        <f>IF($G2434="","",INDEX('EDS Lookup'!$F$6:$F$2819,$G2434))</f>
        <v/>
      </c>
      <c r="F2434" s="8" t="str">
        <f>IF($G2434="","",INDEX('EDS Lookup'!$G$6:$G$2819,$G2434))</f>
        <v/>
      </c>
      <c r="G2434" t="str">
        <f>IF(2411&lt;=$B$4,IFERROR(MATCH(2411,'EDS Lookup'!$H$6:$H$2819,0),""),"")</f>
        <v/>
      </c>
      <c r="H2434" t="str">
        <f t="shared" si="37"/>
        <v/>
      </c>
    </row>
    <row r="2435" spans="1:8" ht="19.95" customHeight="1">
      <c r="A2435" s="5" t="str">
        <f>IF($G2435="","",INDEX('EDS Lookup'!$D$6:$D$2819,$G2435))</f>
        <v/>
      </c>
      <c r="B2435" s="5" t="str">
        <f>IF($G2435="","",INDEX('EDS Lookup'!$B$6:$B$2819,$G2435))</f>
        <v/>
      </c>
      <c r="C2435" s="17"/>
      <c r="D2435" s="6"/>
      <c r="E2435" s="7" t="str">
        <f>IF($G2435="","",INDEX('EDS Lookup'!$F$6:$F$2819,$G2435))</f>
        <v/>
      </c>
      <c r="F2435" s="8" t="str">
        <f>IF($G2435="","",INDEX('EDS Lookup'!$G$6:$G$2819,$G2435))</f>
        <v/>
      </c>
      <c r="G2435" t="str">
        <f>IF(2412&lt;=$B$4,IFERROR(MATCH(2412,'EDS Lookup'!$H$6:$H$2819,0),""),"")</f>
        <v/>
      </c>
      <c r="H2435" t="str">
        <f t="shared" si="37"/>
        <v/>
      </c>
    </row>
    <row r="2436" spans="1:8" ht="19.95" customHeight="1">
      <c r="A2436" s="5" t="str">
        <f>IF($G2436="","",INDEX('EDS Lookup'!$D$6:$D$2819,$G2436))</f>
        <v/>
      </c>
      <c r="B2436" s="5" t="str">
        <f>IF($G2436="","",INDEX('EDS Lookup'!$B$6:$B$2819,$G2436))</f>
        <v/>
      </c>
      <c r="C2436" s="17"/>
      <c r="D2436" s="6"/>
      <c r="E2436" s="7" t="str">
        <f>IF($G2436="","",INDEX('EDS Lookup'!$F$6:$F$2819,$G2436))</f>
        <v/>
      </c>
      <c r="F2436" s="8" t="str">
        <f>IF($G2436="","",INDEX('EDS Lookup'!$G$6:$G$2819,$G2436))</f>
        <v/>
      </c>
      <c r="G2436" t="str">
        <f>IF(2413&lt;=$B$4,IFERROR(MATCH(2413,'EDS Lookup'!$H$6:$H$2819,0),""),"")</f>
        <v/>
      </c>
      <c r="H2436" t="str">
        <f t="shared" si="37"/>
        <v/>
      </c>
    </row>
    <row r="2437" spans="1:8" ht="19.95" customHeight="1">
      <c r="A2437" s="5" t="str">
        <f>IF($G2437="","",INDEX('EDS Lookup'!$D$6:$D$2819,$G2437))</f>
        <v/>
      </c>
      <c r="B2437" s="5" t="str">
        <f>IF($G2437="","",INDEX('EDS Lookup'!$B$6:$B$2819,$G2437))</f>
        <v/>
      </c>
      <c r="C2437" s="17"/>
      <c r="D2437" s="6"/>
      <c r="E2437" s="7" t="str">
        <f>IF($G2437="","",INDEX('EDS Lookup'!$F$6:$F$2819,$G2437))</f>
        <v/>
      </c>
      <c r="F2437" s="8" t="str">
        <f>IF($G2437="","",INDEX('EDS Lookup'!$G$6:$G$2819,$G2437))</f>
        <v/>
      </c>
      <c r="G2437" t="str">
        <f>IF(2414&lt;=$B$4,IFERROR(MATCH(2414,'EDS Lookup'!$H$6:$H$2819,0),""),"")</f>
        <v/>
      </c>
      <c r="H2437" t="str">
        <f t="shared" si="37"/>
        <v/>
      </c>
    </row>
    <row r="2438" spans="1:8" ht="19.95" customHeight="1">
      <c r="A2438" s="5" t="str">
        <f>IF($G2438="","",INDEX('EDS Lookup'!$D$6:$D$2819,$G2438))</f>
        <v/>
      </c>
      <c r="B2438" s="5" t="str">
        <f>IF($G2438="","",INDEX('EDS Lookup'!$B$6:$B$2819,$G2438))</f>
        <v/>
      </c>
      <c r="C2438" s="17"/>
      <c r="D2438" s="6"/>
      <c r="E2438" s="7" t="str">
        <f>IF($G2438="","",INDEX('EDS Lookup'!$F$6:$F$2819,$G2438))</f>
        <v/>
      </c>
      <c r="F2438" s="8" t="str">
        <f>IF($G2438="","",INDEX('EDS Lookup'!$G$6:$G$2819,$G2438))</f>
        <v/>
      </c>
      <c r="G2438" t="str">
        <f>IF(2415&lt;=$B$4,IFERROR(MATCH(2415,'EDS Lookup'!$H$6:$H$2819,0),""),"")</f>
        <v/>
      </c>
      <c r="H2438" t="str">
        <f t="shared" si="37"/>
        <v/>
      </c>
    </row>
    <row r="2439" spans="1:8" ht="19.95" customHeight="1">
      <c r="A2439" s="5" t="str">
        <f>IF($G2439="","",INDEX('EDS Lookup'!$D$6:$D$2819,$G2439))</f>
        <v/>
      </c>
      <c r="B2439" s="5" t="str">
        <f>IF($G2439="","",INDEX('EDS Lookup'!$B$6:$B$2819,$G2439))</f>
        <v/>
      </c>
      <c r="C2439" s="17"/>
      <c r="D2439" s="6"/>
      <c r="E2439" s="7" t="str">
        <f>IF($G2439="","",INDEX('EDS Lookup'!$F$6:$F$2819,$G2439))</f>
        <v/>
      </c>
      <c r="F2439" s="8" t="str">
        <f>IF($G2439="","",INDEX('EDS Lookup'!$G$6:$G$2819,$G2439))</f>
        <v/>
      </c>
      <c r="G2439" t="str">
        <f>IF(2416&lt;=$B$4,IFERROR(MATCH(2416,'EDS Lookup'!$H$6:$H$2819,0),""),"")</f>
        <v/>
      </c>
      <c r="H2439" t="str">
        <f t="shared" si="37"/>
        <v/>
      </c>
    </row>
    <row r="2440" spans="1:8" ht="19.95" customHeight="1">
      <c r="A2440" s="5" t="str">
        <f>IF($G2440="","",INDEX('EDS Lookup'!$D$6:$D$2819,$G2440))</f>
        <v/>
      </c>
      <c r="B2440" s="5" t="str">
        <f>IF($G2440="","",INDEX('EDS Lookup'!$B$6:$B$2819,$G2440))</f>
        <v/>
      </c>
      <c r="C2440" s="17"/>
      <c r="D2440" s="6"/>
      <c r="E2440" s="7" t="str">
        <f>IF($G2440="","",INDEX('EDS Lookup'!$F$6:$F$2819,$G2440))</f>
        <v/>
      </c>
      <c r="F2440" s="8" t="str">
        <f>IF($G2440="","",INDEX('EDS Lookup'!$G$6:$G$2819,$G2440))</f>
        <v/>
      </c>
      <c r="G2440" t="str">
        <f>IF(2417&lt;=$B$4,IFERROR(MATCH(2417,'EDS Lookup'!$H$6:$H$2819,0),""),"")</f>
        <v/>
      </c>
      <c r="H2440" t="str">
        <f t="shared" si="37"/>
        <v/>
      </c>
    </row>
    <row r="2441" spans="1:8" ht="19.95" customHeight="1">
      <c r="A2441" s="5" t="str">
        <f>IF($G2441="","",INDEX('EDS Lookup'!$D$6:$D$2819,$G2441))</f>
        <v/>
      </c>
      <c r="B2441" s="5" t="str">
        <f>IF($G2441="","",INDEX('EDS Lookup'!$B$6:$B$2819,$G2441))</f>
        <v/>
      </c>
      <c r="C2441" s="17"/>
      <c r="D2441" s="6"/>
      <c r="E2441" s="7" t="str">
        <f>IF($G2441="","",INDEX('EDS Lookup'!$F$6:$F$2819,$G2441))</f>
        <v/>
      </c>
      <c r="F2441" s="8" t="str">
        <f>IF($G2441="","",INDEX('EDS Lookup'!$G$6:$G$2819,$G2441))</f>
        <v/>
      </c>
      <c r="G2441" t="str">
        <f>IF(2418&lt;=$B$4,IFERROR(MATCH(2418,'EDS Lookup'!$H$6:$H$2819,0),""),"")</f>
        <v/>
      </c>
      <c r="H2441" t="str">
        <f t="shared" si="37"/>
        <v/>
      </c>
    </row>
    <row r="2442" spans="1:8" ht="19.95" customHeight="1">
      <c r="A2442" s="5" t="str">
        <f>IF($G2442="","",INDEX('EDS Lookup'!$D$6:$D$2819,$G2442))</f>
        <v/>
      </c>
      <c r="B2442" s="5" t="str">
        <f>IF($G2442="","",INDEX('EDS Lookup'!$B$6:$B$2819,$G2442))</f>
        <v/>
      </c>
      <c r="C2442" s="17"/>
      <c r="D2442" s="6"/>
      <c r="E2442" s="7" t="str">
        <f>IF($G2442="","",INDEX('EDS Lookup'!$F$6:$F$2819,$G2442))</f>
        <v/>
      </c>
      <c r="F2442" s="8" t="str">
        <f>IF($G2442="","",INDEX('EDS Lookup'!$G$6:$G$2819,$G2442))</f>
        <v/>
      </c>
      <c r="G2442" t="str">
        <f>IF(2419&lt;=$B$4,IFERROR(MATCH(2419,'EDS Lookup'!$H$6:$H$2819,0),""),"")</f>
        <v/>
      </c>
      <c r="H2442" t="str">
        <f t="shared" si="37"/>
        <v/>
      </c>
    </row>
    <row r="2443" spans="1:8" ht="19.95" customHeight="1">
      <c r="A2443" s="5" t="str">
        <f>IF($G2443="","",INDEX('EDS Lookup'!$D$6:$D$2819,$G2443))</f>
        <v/>
      </c>
      <c r="B2443" s="5" t="str">
        <f>IF($G2443="","",INDEX('EDS Lookup'!$B$6:$B$2819,$G2443))</f>
        <v/>
      </c>
      <c r="C2443" s="17"/>
      <c r="D2443" s="6"/>
      <c r="E2443" s="7" t="str">
        <f>IF($G2443="","",INDEX('EDS Lookup'!$F$6:$F$2819,$G2443))</f>
        <v/>
      </c>
      <c r="F2443" s="8" t="str">
        <f>IF($G2443="","",INDEX('EDS Lookup'!$G$6:$G$2819,$G2443))</f>
        <v/>
      </c>
      <c r="G2443" t="str">
        <f>IF(2420&lt;=$B$4,IFERROR(MATCH(2420,'EDS Lookup'!$H$6:$H$2819,0),""),"")</f>
        <v/>
      </c>
      <c r="H2443" t="str">
        <f t="shared" si="37"/>
        <v/>
      </c>
    </row>
    <row r="2444" spans="1:8" ht="19.95" customHeight="1">
      <c r="A2444" s="5" t="str">
        <f>IF($G2444="","",INDEX('EDS Lookup'!$D$6:$D$2819,$G2444))</f>
        <v/>
      </c>
      <c r="B2444" s="5" t="str">
        <f>IF($G2444="","",INDEX('EDS Lookup'!$B$6:$B$2819,$G2444))</f>
        <v/>
      </c>
      <c r="C2444" s="17"/>
      <c r="D2444" s="6"/>
      <c r="E2444" s="7" t="str">
        <f>IF($G2444="","",INDEX('EDS Lookup'!$F$6:$F$2819,$G2444))</f>
        <v/>
      </c>
      <c r="F2444" s="8" t="str">
        <f>IF($G2444="","",INDEX('EDS Lookup'!$G$6:$G$2819,$G2444))</f>
        <v/>
      </c>
      <c r="G2444" t="str">
        <f>IF(2421&lt;=$B$4,IFERROR(MATCH(2421,'EDS Lookup'!$H$6:$H$2819,0),""),"")</f>
        <v/>
      </c>
      <c r="H2444" t="str">
        <f t="shared" si="37"/>
        <v/>
      </c>
    </row>
    <row r="2445" spans="1:8" ht="19.95" customHeight="1">
      <c r="A2445" s="5" t="str">
        <f>IF($G2445="","",INDEX('EDS Lookup'!$D$6:$D$2819,$G2445))</f>
        <v/>
      </c>
      <c r="B2445" s="5" t="str">
        <f>IF($G2445="","",INDEX('EDS Lookup'!$B$6:$B$2819,$G2445))</f>
        <v/>
      </c>
      <c r="C2445" s="17"/>
      <c r="D2445" s="6"/>
      <c r="E2445" s="7" t="str">
        <f>IF($G2445="","",INDEX('EDS Lookup'!$F$6:$F$2819,$G2445))</f>
        <v/>
      </c>
      <c r="F2445" s="8" t="str">
        <f>IF($G2445="","",INDEX('EDS Lookup'!$G$6:$G$2819,$G2445))</f>
        <v/>
      </c>
      <c r="G2445" t="str">
        <f>IF(2422&lt;=$B$4,IFERROR(MATCH(2422,'EDS Lookup'!$H$6:$H$2819,0),""),"")</f>
        <v/>
      </c>
      <c r="H2445" t="str">
        <f t="shared" si="37"/>
        <v/>
      </c>
    </row>
    <row r="2446" spans="1:8" ht="19.95" customHeight="1">
      <c r="A2446" s="5" t="str">
        <f>IF($G2446="","",INDEX('EDS Lookup'!$D$6:$D$2819,$G2446))</f>
        <v/>
      </c>
      <c r="B2446" s="5" t="str">
        <f>IF($G2446="","",INDEX('EDS Lookup'!$B$6:$B$2819,$G2446))</f>
        <v/>
      </c>
      <c r="C2446" s="17"/>
      <c r="D2446" s="6"/>
      <c r="E2446" s="7" t="str">
        <f>IF($G2446="","",INDEX('EDS Lookup'!$F$6:$F$2819,$G2446))</f>
        <v/>
      </c>
      <c r="F2446" s="8" t="str">
        <f>IF($G2446="","",INDEX('EDS Lookup'!$G$6:$G$2819,$G2446))</f>
        <v/>
      </c>
      <c r="G2446" t="str">
        <f>IF(2423&lt;=$B$4,IFERROR(MATCH(2423,'EDS Lookup'!$H$6:$H$2819,0),""),"")</f>
        <v/>
      </c>
      <c r="H2446" t="str">
        <f t="shared" si="37"/>
        <v/>
      </c>
    </row>
    <row r="2447" spans="1:8" ht="19.95" customHeight="1">
      <c r="A2447" s="5" t="str">
        <f>IF($G2447="","",INDEX('EDS Lookup'!$D$6:$D$2819,$G2447))</f>
        <v/>
      </c>
      <c r="B2447" s="5" t="str">
        <f>IF($G2447="","",INDEX('EDS Lookup'!$B$6:$B$2819,$G2447))</f>
        <v/>
      </c>
      <c r="C2447" s="17"/>
      <c r="D2447" s="6"/>
      <c r="E2447" s="7" t="str">
        <f>IF($G2447="","",INDEX('EDS Lookup'!$F$6:$F$2819,$G2447))</f>
        <v/>
      </c>
      <c r="F2447" s="8" t="str">
        <f>IF($G2447="","",INDEX('EDS Lookup'!$G$6:$G$2819,$G2447))</f>
        <v/>
      </c>
      <c r="G2447" t="str">
        <f>IF(2424&lt;=$B$4,IFERROR(MATCH(2424,'EDS Lookup'!$H$6:$H$2819,0),""),"")</f>
        <v/>
      </c>
      <c r="H2447" t="str">
        <f t="shared" si="37"/>
        <v/>
      </c>
    </row>
    <row r="2448" spans="1:8" ht="19.95" customHeight="1">
      <c r="A2448" s="5" t="str">
        <f>IF($G2448="","",INDEX('EDS Lookup'!$D$6:$D$2819,$G2448))</f>
        <v/>
      </c>
      <c r="B2448" s="5" t="str">
        <f>IF($G2448="","",INDEX('EDS Lookup'!$B$6:$B$2819,$G2448))</f>
        <v/>
      </c>
      <c r="C2448" s="17"/>
      <c r="D2448" s="6"/>
      <c r="E2448" s="7" t="str">
        <f>IF($G2448="","",INDEX('EDS Lookup'!$F$6:$F$2819,$G2448))</f>
        <v/>
      </c>
      <c r="F2448" s="8" t="str">
        <f>IF($G2448="","",INDEX('EDS Lookup'!$G$6:$G$2819,$G2448))</f>
        <v/>
      </c>
      <c r="G2448" t="str">
        <f>IF(2425&lt;=$B$4,IFERROR(MATCH(2425,'EDS Lookup'!$H$6:$H$2819,0),""),"")</f>
        <v/>
      </c>
      <c r="H2448" t="str">
        <f t="shared" si="37"/>
        <v/>
      </c>
    </row>
    <row r="2449" spans="1:8" ht="19.95" customHeight="1">
      <c r="A2449" s="5" t="str">
        <f>IF($G2449="","",INDEX('EDS Lookup'!$D$6:$D$2819,$G2449))</f>
        <v/>
      </c>
      <c r="B2449" s="5" t="str">
        <f>IF($G2449="","",INDEX('EDS Lookup'!$B$6:$B$2819,$G2449))</f>
        <v/>
      </c>
      <c r="C2449" s="17"/>
      <c r="D2449" s="6"/>
      <c r="E2449" s="7" t="str">
        <f>IF($G2449="","",INDEX('EDS Lookup'!$F$6:$F$2819,$G2449))</f>
        <v/>
      </c>
      <c r="F2449" s="8" t="str">
        <f>IF($G2449="","",INDEX('EDS Lookup'!$G$6:$G$2819,$G2449))</f>
        <v/>
      </c>
      <c r="G2449" t="str">
        <f>IF(2426&lt;=$B$4,IFERROR(MATCH(2426,'EDS Lookup'!$H$6:$H$2819,0),""),"")</f>
        <v/>
      </c>
      <c r="H2449" t="str">
        <f t="shared" si="37"/>
        <v/>
      </c>
    </row>
    <row r="2450" spans="1:8" ht="19.95" customHeight="1">
      <c r="A2450" s="5" t="str">
        <f>IF($G2450="","",INDEX('EDS Lookup'!$D$6:$D$2819,$G2450))</f>
        <v/>
      </c>
      <c r="B2450" s="5" t="str">
        <f>IF($G2450="","",INDEX('EDS Lookup'!$B$6:$B$2819,$G2450))</f>
        <v/>
      </c>
      <c r="C2450" s="17"/>
      <c r="D2450" s="6"/>
      <c r="E2450" s="7" t="str">
        <f>IF($G2450="","",INDEX('EDS Lookup'!$F$6:$F$2819,$G2450))</f>
        <v/>
      </c>
      <c r="F2450" s="8" t="str">
        <f>IF($G2450="","",INDEX('EDS Lookup'!$G$6:$G$2819,$G2450))</f>
        <v/>
      </c>
      <c r="G2450" t="str">
        <f>IF(2427&lt;=$B$4,IFERROR(MATCH(2427,'EDS Lookup'!$H$6:$H$2819,0),""),"")</f>
        <v/>
      </c>
      <c r="H2450" t="str">
        <f t="shared" si="37"/>
        <v/>
      </c>
    </row>
    <row r="2451" spans="1:8" ht="19.95" customHeight="1">
      <c r="A2451" s="5" t="str">
        <f>IF($G2451="","",INDEX('EDS Lookup'!$D$6:$D$2819,$G2451))</f>
        <v/>
      </c>
      <c r="B2451" s="5" t="str">
        <f>IF($G2451="","",INDEX('EDS Lookup'!$B$6:$B$2819,$G2451))</f>
        <v/>
      </c>
      <c r="C2451" s="17"/>
      <c r="D2451" s="6"/>
      <c r="E2451" s="7" t="str">
        <f>IF($G2451="","",INDEX('EDS Lookup'!$F$6:$F$2819,$G2451))</f>
        <v/>
      </c>
      <c r="F2451" s="8" t="str">
        <f>IF($G2451="","",INDEX('EDS Lookup'!$G$6:$G$2819,$G2451))</f>
        <v/>
      </c>
      <c r="G2451" t="str">
        <f>IF(2428&lt;=$B$4,IFERROR(MATCH(2428,'EDS Lookup'!$H$6:$H$2819,0),""),"")</f>
        <v/>
      </c>
      <c r="H2451" t="str">
        <f t="shared" si="37"/>
        <v/>
      </c>
    </row>
    <row r="2452" spans="1:8" ht="19.95" customHeight="1">
      <c r="A2452" s="5" t="str">
        <f>IF($G2452="","",INDEX('EDS Lookup'!$D$6:$D$2819,$G2452))</f>
        <v/>
      </c>
      <c r="B2452" s="5" t="str">
        <f>IF($G2452="","",INDEX('EDS Lookup'!$B$6:$B$2819,$G2452))</f>
        <v/>
      </c>
      <c r="C2452" s="17"/>
      <c r="D2452" s="6"/>
      <c r="E2452" s="7" t="str">
        <f>IF($G2452="","",INDEX('EDS Lookup'!$F$6:$F$2819,$G2452))</f>
        <v/>
      </c>
      <c r="F2452" s="8" t="str">
        <f>IF($G2452="","",INDEX('EDS Lookup'!$G$6:$G$2819,$G2452))</f>
        <v/>
      </c>
      <c r="G2452" t="str">
        <f>IF(2429&lt;=$B$4,IFERROR(MATCH(2429,'EDS Lookup'!$H$6:$H$2819,0),""),"")</f>
        <v/>
      </c>
      <c r="H2452" t="str">
        <f t="shared" si="37"/>
        <v/>
      </c>
    </row>
    <row r="2453" spans="1:8" ht="19.95" customHeight="1">
      <c r="A2453" s="5" t="str">
        <f>IF($G2453="","",INDEX('EDS Lookup'!$D$6:$D$2819,$G2453))</f>
        <v/>
      </c>
      <c r="B2453" s="5" t="str">
        <f>IF($G2453="","",INDEX('EDS Lookup'!$B$6:$B$2819,$G2453))</f>
        <v/>
      </c>
      <c r="C2453" s="17"/>
      <c r="D2453" s="6"/>
      <c r="E2453" s="7" t="str">
        <f>IF($G2453="","",INDEX('EDS Lookup'!$F$6:$F$2819,$G2453))</f>
        <v/>
      </c>
      <c r="F2453" s="8" t="str">
        <f>IF($G2453="","",INDEX('EDS Lookup'!$G$6:$G$2819,$G2453))</f>
        <v/>
      </c>
      <c r="G2453" t="str">
        <f>IF(2430&lt;=$B$4,IFERROR(MATCH(2430,'EDS Lookup'!$H$6:$H$2819,0),""),"")</f>
        <v/>
      </c>
      <c r="H2453" t="str">
        <f t="shared" si="37"/>
        <v/>
      </c>
    </row>
    <row r="2454" spans="1:8" ht="19.95" customHeight="1">
      <c r="A2454" s="5" t="str">
        <f>IF($G2454="","",INDEX('EDS Lookup'!$D$6:$D$2819,$G2454))</f>
        <v/>
      </c>
      <c r="B2454" s="5" t="str">
        <f>IF($G2454="","",INDEX('EDS Lookup'!$B$6:$B$2819,$G2454))</f>
        <v/>
      </c>
      <c r="C2454" s="17"/>
      <c r="D2454" s="6"/>
      <c r="E2454" s="7" t="str">
        <f>IF($G2454="","",INDEX('EDS Lookup'!$F$6:$F$2819,$G2454))</f>
        <v/>
      </c>
      <c r="F2454" s="8" t="str">
        <f>IF($G2454="","",INDEX('EDS Lookup'!$G$6:$G$2819,$G2454))</f>
        <v/>
      </c>
      <c r="G2454" t="str">
        <f>IF(2431&lt;=$B$4,IFERROR(MATCH(2431,'EDS Lookup'!$H$6:$H$2819,0),""),"")</f>
        <v/>
      </c>
      <c r="H2454" t="str">
        <f t="shared" si="37"/>
        <v/>
      </c>
    </row>
    <row r="2455" spans="1:8" ht="19.95" customHeight="1">
      <c r="A2455" s="5" t="str">
        <f>IF($G2455="","",INDEX('EDS Lookup'!$D$6:$D$2819,$G2455))</f>
        <v/>
      </c>
      <c r="B2455" s="5" t="str">
        <f>IF($G2455="","",INDEX('EDS Lookup'!$B$6:$B$2819,$G2455))</f>
        <v/>
      </c>
      <c r="C2455" s="17"/>
      <c r="D2455" s="6"/>
      <c r="E2455" s="7" t="str">
        <f>IF($G2455="","",INDEX('EDS Lookup'!$F$6:$F$2819,$G2455))</f>
        <v/>
      </c>
      <c r="F2455" s="8" t="str">
        <f>IF($G2455="","",INDEX('EDS Lookup'!$G$6:$G$2819,$G2455))</f>
        <v/>
      </c>
      <c r="G2455" t="str">
        <f>IF(2432&lt;=$B$4,IFERROR(MATCH(2432,'EDS Lookup'!$H$6:$H$2819,0),""),"")</f>
        <v/>
      </c>
      <c r="H2455" t="str">
        <f t="shared" si="37"/>
        <v/>
      </c>
    </row>
    <row r="2456" spans="1:8" ht="19.95" customHeight="1">
      <c r="A2456" s="5" t="str">
        <f>IF($G2456="","",INDEX('EDS Lookup'!$D$6:$D$2819,$G2456))</f>
        <v/>
      </c>
      <c r="B2456" s="5" t="str">
        <f>IF($G2456="","",INDEX('EDS Lookup'!$B$6:$B$2819,$G2456))</f>
        <v/>
      </c>
      <c r="C2456" s="17"/>
      <c r="D2456" s="6"/>
      <c r="E2456" s="7" t="str">
        <f>IF($G2456="","",INDEX('EDS Lookup'!$F$6:$F$2819,$G2456))</f>
        <v/>
      </c>
      <c r="F2456" s="8" t="str">
        <f>IF($G2456="","",INDEX('EDS Lookup'!$G$6:$G$2819,$G2456))</f>
        <v/>
      </c>
      <c r="G2456" t="str">
        <f>IF(2433&lt;=$B$4,IFERROR(MATCH(2433,'EDS Lookup'!$H$6:$H$2819,0),""),"")</f>
        <v/>
      </c>
      <c r="H2456" t="str">
        <f t="shared" ref="H2456:H2519" si="38">IF(F2456="&lt;5",5,IF(F2456="&gt;95",95,IF(ISNUMBER(F2456),F2456,"")))</f>
        <v/>
      </c>
    </row>
    <row r="2457" spans="1:8" ht="19.95" customHeight="1">
      <c r="A2457" s="5" t="str">
        <f>IF($G2457="","",INDEX('EDS Lookup'!$D$6:$D$2819,$G2457))</f>
        <v/>
      </c>
      <c r="B2457" s="5" t="str">
        <f>IF($G2457="","",INDEX('EDS Lookup'!$B$6:$B$2819,$G2457))</f>
        <v/>
      </c>
      <c r="C2457" s="17"/>
      <c r="D2457" s="6"/>
      <c r="E2457" s="7" t="str">
        <f>IF($G2457="","",INDEX('EDS Lookup'!$F$6:$F$2819,$G2457))</f>
        <v/>
      </c>
      <c r="F2457" s="8" t="str">
        <f>IF($G2457="","",INDEX('EDS Lookup'!$G$6:$G$2819,$G2457))</f>
        <v/>
      </c>
      <c r="G2457" t="str">
        <f>IF(2434&lt;=$B$4,IFERROR(MATCH(2434,'EDS Lookup'!$H$6:$H$2819,0),""),"")</f>
        <v/>
      </c>
      <c r="H2457" t="str">
        <f t="shared" si="38"/>
        <v/>
      </c>
    </row>
    <row r="2458" spans="1:8" ht="19.95" customHeight="1">
      <c r="A2458" s="5" t="str">
        <f>IF($G2458="","",INDEX('EDS Lookup'!$D$6:$D$2819,$G2458))</f>
        <v/>
      </c>
      <c r="B2458" s="5" t="str">
        <f>IF($G2458="","",INDEX('EDS Lookup'!$B$6:$B$2819,$G2458))</f>
        <v/>
      </c>
      <c r="C2458" s="17"/>
      <c r="D2458" s="6"/>
      <c r="E2458" s="7" t="str">
        <f>IF($G2458="","",INDEX('EDS Lookup'!$F$6:$F$2819,$G2458))</f>
        <v/>
      </c>
      <c r="F2458" s="8" t="str">
        <f>IF($G2458="","",INDEX('EDS Lookup'!$G$6:$G$2819,$G2458))</f>
        <v/>
      </c>
      <c r="G2458" t="str">
        <f>IF(2435&lt;=$B$4,IFERROR(MATCH(2435,'EDS Lookup'!$H$6:$H$2819,0),""),"")</f>
        <v/>
      </c>
      <c r="H2458" t="str">
        <f t="shared" si="38"/>
        <v/>
      </c>
    </row>
    <row r="2459" spans="1:8" ht="19.95" customHeight="1">
      <c r="A2459" s="5" t="str">
        <f>IF($G2459="","",INDEX('EDS Lookup'!$D$6:$D$2819,$G2459))</f>
        <v/>
      </c>
      <c r="B2459" s="5" t="str">
        <f>IF($G2459="","",INDEX('EDS Lookup'!$B$6:$B$2819,$G2459))</f>
        <v/>
      </c>
      <c r="C2459" s="17"/>
      <c r="D2459" s="6"/>
      <c r="E2459" s="7" t="str">
        <f>IF($G2459="","",INDEX('EDS Lookup'!$F$6:$F$2819,$G2459))</f>
        <v/>
      </c>
      <c r="F2459" s="8" t="str">
        <f>IF($G2459="","",INDEX('EDS Lookup'!$G$6:$G$2819,$G2459))</f>
        <v/>
      </c>
      <c r="G2459" t="str">
        <f>IF(2436&lt;=$B$4,IFERROR(MATCH(2436,'EDS Lookup'!$H$6:$H$2819,0),""),"")</f>
        <v/>
      </c>
      <c r="H2459" t="str">
        <f t="shared" si="38"/>
        <v/>
      </c>
    </row>
    <row r="2460" spans="1:8" ht="19.95" customHeight="1">
      <c r="A2460" s="5" t="str">
        <f>IF($G2460="","",INDEX('EDS Lookup'!$D$6:$D$2819,$G2460))</f>
        <v/>
      </c>
      <c r="B2460" s="5" t="str">
        <f>IF($G2460="","",INDEX('EDS Lookup'!$B$6:$B$2819,$G2460))</f>
        <v/>
      </c>
      <c r="C2460" s="17"/>
      <c r="D2460" s="6"/>
      <c r="E2460" s="7" t="str">
        <f>IF($G2460="","",INDEX('EDS Lookup'!$F$6:$F$2819,$G2460))</f>
        <v/>
      </c>
      <c r="F2460" s="8" t="str">
        <f>IF($G2460="","",INDEX('EDS Lookup'!$G$6:$G$2819,$G2460))</f>
        <v/>
      </c>
      <c r="G2460" t="str">
        <f>IF(2437&lt;=$B$4,IFERROR(MATCH(2437,'EDS Lookup'!$H$6:$H$2819,0),""),"")</f>
        <v/>
      </c>
      <c r="H2460" t="str">
        <f t="shared" si="38"/>
        <v/>
      </c>
    </row>
    <row r="2461" spans="1:8" ht="19.95" customHeight="1">
      <c r="A2461" s="5" t="str">
        <f>IF($G2461="","",INDEX('EDS Lookup'!$D$6:$D$2819,$G2461))</f>
        <v/>
      </c>
      <c r="B2461" s="5" t="str">
        <f>IF($G2461="","",INDEX('EDS Lookup'!$B$6:$B$2819,$G2461))</f>
        <v/>
      </c>
      <c r="C2461" s="17"/>
      <c r="D2461" s="6"/>
      <c r="E2461" s="7" t="str">
        <f>IF($G2461="","",INDEX('EDS Lookup'!$F$6:$F$2819,$G2461))</f>
        <v/>
      </c>
      <c r="F2461" s="8" t="str">
        <f>IF($G2461="","",INDEX('EDS Lookup'!$G$6:$G$2819,$G2461))</f>
        <v/>
      </c>
      <c r="G2461" t="str">
        <f>IF(2438&lt;=$B$4,IFERROR(MATCH(2438,'EDS Lookup'!$H$6:$H$2819,0),""),"")</f>
        <v/>
      </c>
      <c r="H2461" t="str">
        <f t="shared" si="38"/>
        <v/>
      </c>
    </row>
    <row r="2462" spans="1:8" ht="19.95" customHeight="1">
      <c r="A2462" s="5" t="str">
        <f>IF($G2462="","",INDEX('EDS Lookup'!$D$6:$D$2819,$G2462))</f>
        <v/>
      </c>
      <c r="B2462" s="5" t="str">
        <f>IF($G2462="","",INDEX('EDS Lookup'!$B$6:$B$2819,$G2462))</f>
        <v/>
      </c>
      <c r="C2462" s="17"/>
      <c r="D2462" s="6"/>
      <c r="E2462" s="7" t="str">
        <f>IF($G2462="","",INDEX('EDS Lookup'!$F$6:$F$2819,$G2462))</f>
        <v/>
      </c>
      <c r="F2462" s="8" t="str">
        <f>IF($G2462="","",INDEX('EDS Lookup'!$G$6:$G$2819,$G2462))</f>
        <v/>
      </c>
      <c r="G2462" t="str">
        <f>IF(2439&lt;=$B$4,IFERROR(MATCH(2439,'EDS Lookup'!$H$6:$H$2819,0),""),"")</f>
        <v/>
      </c>
      <c r="H2462" t="str">
        <f t="shared" si="38"/>
        <v/>
      </c>
    </row>
    <row r="2463" spans="1:8" ht="19.95" customHeight="1">
      <c r="A2463" s="5" t="str">
        <f>IF($G2463="","",INDEX('EDS Lookup'!$D$6:$D$2819,$G2463))</f>
        <v/>
      </c>
      <c r="B2463" s="5" t="str">
        <f>IF($G2463="","",INDEX('EDS Lookup'!$B$6:$B$2819,$G2463))</f>
        <v/>
      </c>
      <c r="C2463" s="17"/>
      <c r="D2463" s="6"/>
      <c r="E2463" s="7" t="str">
        <f>IF($G2463="","",INDEX('EDS Lookup'!$F$6:$F$2819,$G2463))</f>
        <v/>
      </c>
      <c r="F2463" s="8" t="str">
        <f>IF($G2463="","",INDEX('EDS Lookup'!$G$6:$G$2819,$G2463))</f>
        <v/>
      </c>
      <c r="G2463" t="str">
        <f>IF(2440&lt;=$B$4,IFERROR(MATCH(2440,'EDS Lookup'!$H$6:$H$2819,0),""),"")</f>
        <v/>
      </c>
      <c r="H2463" t="str">
        <f t="shared" si="38"/>
        <v/>
      </c>
    </row>
    <row r="2464" spans="1:8" ht="19.95" customHeight="1">
      <c r="A2464" s="5" t="str">
        <f>IF($G2464="","",INDEX('EDS Lookup'!$D$6:$D$2819,$G2464))</f>
        <v/>
      </c>
      <c r="B2464" s="5" t="str">
        <f>IF($G2464="","",INDEX('EDS Lookup'!$B$6:$B$2819,$G2464))</f>
        <v/>
      </c>
      <c r="C2464" s="17"/>
      <c r="D2464" s="6"/>
      <c r="E2464" s="7" t="str">
        <f>IF($G2464="","",INDEX('EDS Lookup'!$F$6:$F$2819,$G2464))</f>
        <v/>
      </c>
      <c r="F2464" s="8" t="str">
        <f>IF($G2464="","",INDEX('EDS Lookup'!$G$6:$G$2819,$G2464))</f>
        <v/>
      </c>
      <c r="G2464" t="str">
        <f>IF(2441&lt;=$B$4,IFERROR(MATCH(2441,'EDS Lookup'!$H$6:$H$2819,0),""),"")</f>
        <v/>
      </c>
      <c r="H2464" t="str">
        <f t="shared" si="38"/>
        <v/>
      </c>
    </row>
    <row r="2465" spans="1:8" ht="19.95" customHeight="1">
      <c r="A2465" s="5" t="str">
        <f>IF($G2465="","",INDEX('EDS Lookup'!$D$6:$D$2819,$G2465))</f>
        <v/>
      </c>
      <c r="B2465" s="5" t="str">
        <f>IF($G2465="","",INDEX('EDS Lookup'!$B$6:$B$2819,$G2465))</f>
        <v/>
      </c>
      <c r="C2465" s="17"/>
      <c r="D2465" s="6"/>
      <c r="E2465" s="7" t="str">
        <f>IF($G2465="","",INDEX('EDS Lookup'!$F$6:$F$2819,$G2465))</f>
        <v/>
      </c>
      <c r="F2465" s="8" t="str">
        <f>IF($G2465="","",INDEX('EDS Lookup'!$G$6:$G$2819,$G2465))</f>
        <v/>
      </c>
      <c r="G2465" t="str">
        <f>IF(2442&lt;=$B$4,IFERROR(MATCH(2442,'EDS Lookup'!$H$6:$H$2819,0),""),"")</f>
        <v/>
      </c>
      <c r="H2465" t="str">
        <f t="shared" si="38"/>
        <v/>
      </c>
    </row>
    <row r="2466" spans="1:8" ht="19.95" customHeight="1">
      <c r="A2466" s="5" t="str">
        <f>IF($G2466="","",INDEX('EDS Lookup'!$D$6:$D$2819,$G2466))</f>
        <v/>
      </c>
      <c r="B2466" s="5" t="str">
        <f>IF($G2466="","",INDEX('EDS Lookup'!$B$6:$B$2819,$G2466))</f>
        <v/>
      </c>
      <c r="C2466" s="17"/>
      <c r="D2466" s="6"/>
      <c r="E2466" s="7" t="str">
        <f>IF($G2466="","",INDEX('EDS Lookup'!$F$6:$F$2819,$G2466))</f>
        <v/>
      </c>
      <c r="F2466" s="8" t="str">
        <f>IF($G2466="","",INDEX('EDS Lookup'!$G$6:$G$2819,$G2466))</f>
        <v/>
      </c>
      <c r="G2466" t="str">
        <f>IF(2443&lt;=$B$4,IFERROR(MATCH(2443,'EDS Lookup'!$H$6:$H$2819,0),""),"")</f>
        <v/>
      </c>
      <c r="H2466" t="str">
        <f t="shared" si="38"/>
        <v/>
      </c>
    </row>
    <row r="2467" spans="1:8" ht="19.95" customHeight="1">
      <c r="A2467" s="5" t="str">
        <f>IF($G2467="","",INDEX('EDS Lookup'!$D$6:$D$2819,$G2467))</f>
        <v/>
      </c>
      <c r="B2467" s="5" t="str">
        <f>IF($G2467="","",INDEX('EDS Lookup'!$B$6:$B$2819,$G2467))</f>
        <v/>
      </c>
      <c r="C2467" s="17"/>
      <c r="D2467" s="6"/>
      <c r="E2467" s="7" t="str">
        <f>IF($G2467="","",INDEX('EDS Lookup'!$F$6:$F$2819,$G2467))</f>
        <v/>
      </c>
      <c r="F2467" s="8" t="str">
        <f>IF($G2467="","",INDEX('EDS Lookup'!$G$6:$G$2819,$G2467))</f>
        <v/>
      </c>
      <c r="G2467" t="str">
        <f>IF(2444&lt;=$B$4,IFERROR(MATCH(2444,'EDS Lookup'!$H$6:$H$2819,0),""),"")</f>
        <v/>
      </c>
      <c r="H2467" t="str">
        <f t="shared" si="38"/>
        <v/>
      </c>
    </row>
    <row r="2468" spans="1:8" ht="19.95" customHeight="1">
      <c r="A2468" s="5" t="str">
        <f>IF($G2468="","",INDEX('EDS Lookup'!$D$6:$D$2819,$G2468))</f>
        <v/>
      </c>
      <c r="B2468" s="5" t="str">
        <f>IF($G2468="","",INDEX('EDS Lookup'!$B$6:$B$2819,$G2468))</f>
        <v/>
      </c>
      <c r="C2468" s="17"/>
      <c r="D2468" s="6"/>
      <c r="E2468" s="7" t="str">
        <f>IF($G2468="","",INDEX('EDS Lookup'!$F$6:$F$2819,$G2468))</f>
        <v/>
      </c>
      <c r="F2468" s="8" t="str">
        <f>IF($G2468="","",INDEX('EDS Lookup'!$G$6:$G$2819,$G2468))</f>
        <v/>
      </c>
      <c r="G2468" t="str">
        <f>IF(2445&lt;=$B$4,IFERROR(MATCH(2445,'EDS Lookup'!$H$6:$H$2819,0),""),"")</f>
        <v/>
      </c>
      <c r="H2468" t="str">
        <f t="shared" si="38"/>
        <v/>
      </c>
    </row>
    <row r="2469" spans="1:8" ht="19.95" customHeight="1">
      <c r="A2469" s="5" t="str">
        <f>IF($G2469="","",INDEX('EDS Lookup'!$D$6:$D$2819,$G2469))</f>
        <v/>
      </c>
      <c r="B2469" s="5" t="str">
        <f>IF($G2469="","",INDEX('EDS Lookup'!$B$6:$B$2819,$G2469))</f>
        <v/>
      </c>
      <c r="C2469" s="17"/>
      <c r="D2469" s="6"/>
      <c r="E2469" s="7" t="str">
        <f>IF($G2469="","",INDEX('EDS Lookup'!$F$6:$F$2819,$G2469))</f>
        <v/>
      </c>
      <c r="F2469" s="8" t="str">
        <f>IF($G2469="","",INDEX('EDS Lookup'!$G$6:$G$2819,$G2469))</f>
        <v/>
      </c>
      <c r="G2469" t="str">
        <f>IF(2446&lt;=$B$4,IFERROR(MATCH(2446,'EDS Lookup'!$H$6:$H$2819,0),""),"")</f>
        <v/>
      </c>
      <c r="H2469" t="str">
        <f t="shared" si="38"/>
        <v/>
      </c>
    </row>
    <row r="2470" spans="1:8" ht="19.95" customHeight="1">
      <c r="A2470" s="5" t="str">
        <f>IF($G2470="","",INDEX('EDS Lookup'!$D$6:$D$2819,$G2470))</f>
        <v/>
      </c>
      <c r="B2470" s="5" t="str">
        <f>IF($G2470="","",INDEX('EDS Lookup'!$B$6:$B$2819,$G2470))</f>
        <v/>
      </c>
      <c r="C2470" s="17"/>
      <c r="D2470" s="6"/>
      <c r="E2470" s="7" t="str">
        <f>IF($G2470="","",INDEX('EDS Lookup'!$F$6:$F$2819,$G2470))</f>
        <v/>
      </c>
      <c r="F2470" s="8" t="str">
        <f>IF($G2470="","",INDEX('EDS Lookup'!$G$6:$G$2819,$G2470))</f>
        <v/>
      </c>
      <c r="G2470" t="str">
        <f>IF(2447&lt;=$B$4,IFERROR(MATCH(2447,'EDS Lookup'!$H$6:$H$2819,0),""),"")</f>
        <v/>
      </c>
      <c r="H2470" t="str">
        <f t="shared" si="38"/>
        <v/>
      </c>
    </row>
    <row r="2471" spans="1:8" ht="19.95" customHeight="1">
      <c r="A2471" s="5" t="str">
        <f>IF($G2471="","",INDEX('EDS Lookup'!$D$6:$D$2819,$G2471))</f>
        <v/>
      </c>
      <c r="B2471" s="5" t="str">
        <f>IF($G2471="","",INDEX('EDS Lookup'!$B$6:$B$2819,$G2471))</f>
        <v/>
      </c>
      <c r="C2471" s="17"/>
      <c r="D2471" s="6"/>
      <c r="E2471" s="7" t="str">
        <f>IF($G2471="","",INDEX('EDS Lookup'!$F$6:$F$2819,$G2471))</f>
        <v/>
      </c>
      <c r="F2471" s="8" t="str">
        <f>IF($G2471="","",INDEX('EDS Lookup'!$G$6:$G$2819,$G2471))</f>
        <v/>
      </c>
      <c r="G2471" t="str">
        <f>IF(2448&lt;=$B$4,IFERROR(MATCH(2448,'EDS Lookup'!$H$6:$H$2819,0),""),"")</f>
        <v/>
      </c>
      <c r="H2471" t="str">
        <f t="shared" si="38"/>
        <v/>
      </c>
    </row>
    <row r="2472" spans="1:8" ht="19.95" customHeight="1">
      <c r="A2472" s="5" t="str">
        <f>IF($G2472="","",INDEX('EDS Lookup'!$D$6:$D$2819,$G2472))</f>
        <v/>
      </c>
      <c r="B2472" s="5" t="str">
        <f>IF($G2472="","",INDEX('EDS Lookup'!$B$6:$B$2819,$G2472))</f>
        <v/>
      </c>
      <c r="C2472" s="17"/>
      <c r="D2472" s="6"/>
      <c r="E2472" s="7" t="str">
        <f>IF($G2472="","",INDEX('EDS Lookup'!$F$6:$F$2819,$G2472))</f>
        <v/>
      </c>
      <c r="F2472" s="8" t="str">
        <f>IF($G2472="","",INDEX('EDS Lookup'!$G$6:$G$2819,$G2472))</f>
        <v/>
      </c>
      <c r="G2472" t="str">
        <f>IF(2449&lt;=$B$4,IFERROR(MATCH(2449,'EDS Lookup'!$H$6:$H$2819,0),""),"")</f>
        <v/>
      </c>
      <c r="H2472" t="str">
        <f t="shared" si="38"/>
        <v/>
      </c>
    </row>
    <row r="2473" spans="1:8" ht="19.95" customHeight="1">
      <c r="A2473" s="5" t="str">
        <f>IF($G2473="","",INDEX('EDS Lookup'!$D$6:$D$2819,$G2473))</f>
        <v/>
      </c>
      <c r="B2473" s="5" t="str">
        <f>IF($G2473="","",INDEX('EDS Lookup'!$B$6:$B$2819,$G2473))</f>
        <v/>
      </c>
      <c r="C2473" s="17"/>
      <c r="D2473" s="6"/>
      <c r="E2473" s="7" t="str">
        <f>IF($G2473="","",INDEX('EDS Lookup'!$F$6:$F$2819,$G2473))</f>
        <v/>
      </c>
      <c r="F2473" s="8" t="str">
        <f>IF($G2473="","",INDEX('EDS Lookup'!$G$6:$G$2819,$G2473))</f>
        <v/>
      </c>
      <c r="G2473" t="str">
        <f>IF(2450&lt;=$B$4,IFERROR(MATCH(2450,'EDS Lookup'!$H$6:$H$2819,0),""),"")</f>
        <v/>
      </c>
      <c r="H2473" t="str">
        <f t="shared" si="38"/>
        <v/>
      </c>
    </row>
    <row r="2474" spans="1:8" ht="19.95" customHeight="1">
      <c r="A2474" s="5" t="str">
        <f>IF($G2474="","",INDEX('EDS Lookup'!$D$6:$D$2819,$G2474))</f>
        <v/>
      </c>
      <c r="B2474" s="5" t="str">
        <f>IF($G2474="","",INDEX('EDS Lookup'!$B$6:$B$2819,$G2474))</f>
        <v/>
      </c>
      <c r="C2474" s="17"/>
      <c r="D2474" s="6"/>
      <c r="E2474" s="7" t="str">
        <f>IF($G2474="","",INDEX('EDS Lookup'!$F$6:$F$2819,$G2474))</f>
        <v/>
      </c>
      <c r="F2474" s="8" t="str">
        <f>IF($G2474="","",INDEX('EDS Lookup'!$G$6:$G$2819,$G2474))</f>
        <v/>
      </c>
      <c r="G2474" t="str">
        <f>IF(2451&lt;=$B$4,IFERROR(MATCH(2451,'EDS Lookup'!$H$6:$H$2819,0),""),"")</f>
        <v/>
      </c>
      <c r="H2474" t="str">
        <f t="shared" si="38"/>
        <v/>
      </c>
    </row>
    <row r="2475" spans="1:8" ht="19.95" customHeight="1">
      <c r="A2475" s="5" t="str">
        <f>IF($G2475="","",INDEX('EDS Lookup'!$D$6:$D$2819,$G2475))</f>
        <v/>
      </c>
      <c r="B2475" s="5" t="str">
        <f>IF($G2475="","",INDEX('EDS Lookup'!$B$6:$B$2819,$G2475))</f>
        <v/>
      </c>
      <c r="C2475" s="17"/>
      <c r="D2475" s="6"/>
      <c r="E2475" s="7" t="str">
        <f>IF($G2475="","",INDEX('EDS Lookup'!$F$6:$F$2819,$G2475))</f>
        <v/>
      </c>
      <c r="F2475" s="8" t="str">
        <f>IF($G2475="","",INDEX('EDS Lookup'!$G$6:$G$2819,$G2475))</f>
        <v/>
      </c>
      <c r="G2475" t="str">
        <f>IF(2452&lt;=$B$4,IFERROR(MATCH(2452,'EDS Lookup'!$H$6:$H$2819,0),""),"")</f>
        <v/>
      </c>
      <c r="H2475" t="str">
        <f t="shared" si="38"/>
        <v/>
      </c>
    </row>
    <row r="2476" spans="1:8" ht="19.95" customHeight="1">
      <c r="A2476" s="5" t="str">
        <f>IF($G2476="","",INDEX('EDS Lookup'!$D$6:$D$2819,$G2476))</f>
        <v/>
      </c>
      <c r="B2476" s="5" t="str">
        <f>IF($G2476="","",INDEX('EDS Lookup'!$B$6:$B$2819,$G2476))</f>
        <v/>
      </c>
      <c r="C2476" s="17"/>
      <c r="D2476" s="6"/>
      <c r="E2476" s="7" t="str">
        <f>IF($G2476="","",INDEX('EDS Lookup'!$F$6:$F$2819,$G2476))</f>
        <v/>
      </c>
      <c r="F2476" s="8" t="str">
        <f>IF($G2476="","",INDEX('EDS Lookup'!$G$6:$G$2819,$G2476))</f>
        <v/>
      </c>
      <c r="G2476" t="str">
        <f>IF(2453&lt;=$B$4,IFERROR(MATCH(2453,'EDS Lookup'!$H$6:$H$2819,0),""),"")</f>
        <v/>
      </c>
      <c r="H2476" t="str">
        <f t="shared" si="38"/>
        <v/>
      </c>
    </row>
    <row r="2477" spans="1:8" ht="19.95" customHeight="1">
      <c r="A2477" s="5" t="str">
        <f>IF($G2477="","",INDEX('EDS Lookup'!$D$6:$D$2819,$G2477))</f>
        <v/>
      </c>
      <c r="B2477" s="5" t="str">
        <f>IF($G2477="","",INDEX('EDS Lookup'!$B$6:$B$2819,$G2477))</f>
        <v/>
      </c>
      <c r="C2477" s="17"/>
      <c r="D2477" s="6"/>
      <c r="E2477" s="7" t="str">
        <f>IF($G2477="","",INDEX('EDS Lookup'!$F$6:$F$2819,$G2477))</f>
        <v/>
      </c>
      <c r="F2477" s="8" t="str">
        <f>IF($G2477="","",INDEX('EDS Lookup'!$G$6:$G$2819,$G2477))</f>
        <v/>
      </c>
      <c r="G2477" t="str">
        <f>IF(2454&lt;=$B$4,IFERROR(MATCH(2454,'EDS Lookup'!$H$6:$H$2819,0),""),"")</f>
        <v/>
      </c>
      <c r="H2477" t="str">
        <f t="shared" si="38"/>
        <v/>
      </c>
    </row>
    <row r="2478" spans="1:8" ht="19.95" customHeight="1">
      <c r="A2478" s="5" t="str">
        <f>IF($G2478="","",INDEX('EDS Lookup'!$D$6:$D$2819,$G2478))</f>
        <v/>
      </c>
      <c r="B2478" s="5" t="str">
        <f>IF($G2478="","",INDEX('EDS Lookup'!$B$6:$B$2819,$G2478))</f>
        <v/>
      </c>
      <c r="C2478" s="17"/>
      <c r="D2478" s="6"/>
      <c r="E2478" s="7" t="str">
        <f>IF($G2478="","",INDEX('EDS Lookup'!$F$6:$F$2819,$G2478))</f>
        <v/>
      </c>
      <c r="F2478" s="8" t="str">
        <f>IF($G2478="","",INDEX('EDS Lookup'!$G$6:$G$2819,$G2478))</f>
        <v/>
      </c>
      <c r="G2478" t="str">
        <f>IF(2455&lt;=$B$4,IFERROR(MATCH(2455,'EDS Lookup'!$H$6:$H$2819,0),""),"")</f>
        <v/>
      </c>
      <c r="H2478" t="str">
        <f t="shared" si="38"/>
        <v/>
      </c>
    </row>
    <row r="2479" spans="1:8" ht="19.95" customHeight="1">
      <c r="A2479" s="5" t="str">
        <f>IF($G2479="","",INDEX('EDS Lookup'!$D$6:$D$2819,$G2479))</f>
        <v/>
      </c>
      <c r="B2479" s="5" t="str">
        <f>IF($G2479="","",INDEX('EDS Lookup'!$B$6:$B$2819,$G2479))</f>
        <v/>
      </c>
      <c r="C2479" s="17"/>
      <c r="D2479" s="6"/>
      <c r="E2479" s="7" t="str">
        <f>IF($G2479="","",INDEX('EDS Lookup'!$F$6:$F$2819,$G2479))</f>
        <v/>
      </c>
      <c r="F2479" s="8" t="str">
        <f>IF($G2479="","",INDEX('EDS Lookup'!$G$6:$G$2819,$G2479))</f>
        <v/>
      </c>
      <c r="G2479" t="str">
        <f>IF(2456&lt;=$B$4,IFERROR(MATCH(2456,'EDS Lookup'!$H$6:$H$2819,0),""),"")</f>
        <v/>
      </c>
      <c r="H2479" t="str">
        <f t="shared" si="38"/>
        <v/>
      </c>
    </row>
    <row r="2480" spans="1:8" ht="19.95" customHeight="1">
      <c r="A2480" s="5" t="str">
        <f>IF($G2480="","",INDEX('EDS Lookup'!$D$6:$D$2819,$G2480))</f>
        <v/>
      </c>
      <c r="B2480" s="5" t="str">
        <f>IF($G2480="","",INDEX('EDS Lookup'!$B$6:$B$2819,$G2480))</f>
        <v/>
      </c>
      <c r="C2480" s="17"/>
      <c r="D2480" s="6"/>
      <c r="E2480" s="7" t="str">
        <f>IF($G2480="","",INDEX('EDS Lookup'!$F$6:$F$2819,$G2480))</f>
        <v/>
      </c>
      <c r="F2480" s="8" t="str">
        <f>IF($G2480="","",INDEX('EDS Lookup'!$G$6:$G$2819,$G2480))</f>
        <v/>
      </c>
      <c r="G2480" t="str">
        <f>IF(2457&lt;=$B$4,IFERROR(MATCH(2457,'EDS Lookup'!$H$6:$H$2819,0),""),"")</f>
        <v/>
      </c>
      <c r="H2480" t="str">
        <f t="shared" si="38"/>
        <v/>
      </c>
    </row>
    <row r="2481" spans="1:8" ht="19.95" customHeight="1">
      <c r="A2481" s="5" t="str">
        <f>IF($G2481="","",INDEX('EDS Lookup'!$D$6:$D$2819,$G2481))</f>
        <v/>
      </c>
      <c r="B2481" s="5" t="str">
        <f>IF($G2481="","",INDEX('EDS Lookup'!$B$6:$B$2819,$G2481))</f>
        <v/>
      </c>
      <c r="C2481" s="17"/>
      <c r="D2481" s="6"/>
      <c r="E2481" s="7" t="str">
        <f>IF($G2481="","",INDEX('EDS Lookup'!$F$6:$F$2819,$G2481))</f>
        <v/>
      </c>
      <c r="F2481" s="8" t="str">
        <f>IF($G2481="","",INDEX('EDS Lookup'!$G$6:$G$2819,$G2481))</f>
        <v/>
      </c>
      <c r="G2481" t="str">
        <f>IF(2458&lt;=$B$4,IFERROR(MATCH(2458,'EDS Lookup'!$H$6:$H$2819,0),""),"")</f>
        <v/>
      </c>
      <c r="H2481" t="str">
        <f t="shared" si="38"/>
        <v/>
      </c>
    </row>
    <row r="2482" spans="1:8" ht="19.95" customHeight="1">
      <c r="A2482" s="5" t="str">
        <f>IF($G2482="","",INDEX('EDS Lookup'!$D$6:$D$2819,$G2482))</f>
        <v/>
      </c>
      <c r="B2482" s="5" t="str">
        <f>IF($G2482="","",INDEX('EDS Lookup'!$B$6:$B$2819,$G2482))</f>
        <v/>
      </c>
      <c r="C2482" s="17"/>
      <c r="D2482" s="6"/>
      <c r="E2482" s="7" t="str">
        <f>IF($G2482="","",INDEX('EDS Lookup'!$F$6:$F$2819,$G2482))</f>
        <v/>
      </c>
      <c r="F2482" s="8" t="str">
        <f>IF($G2482="","",INDEX('EDS Lookup'!$G$6:$G$2819,$G2482))</f>
        <v/>
      </c>
      <c r="G2482" t="str">
        <f>IF(2459&lt;=$B$4,IFERROR(MATCH(2459,'EDS Lookup'!$H$6:$H$2819,0),""),"")</f>
        <v/>
      </c>
      <c r="H2482" t="str">
        <f t="shared" si="38"/>
        <v/>
      </c>
    </row>
    <row r="2483" spans="1:8" ht="19.95" customHeight="1">
      <c r="A2483" s="5" t="str">
        <f>IF($G2483="","",INDEX('EDS Lookup'!$D$6:$D$2819,$G2483))</f>
        <v/>
      </c>
      <c r="B2483" s="5" t="str">
        <f>IF($G2483="","",INDEX('EDS Lookup'!$B$6:$B$2819,$G2483))</f>
        <v/>
      </c>
      <c r="C2483" s="17"/>
      <c r="D2483" s="6"/>
      <c r="E2483" s="7" t="str">
        <f>IF($G2483="","",INDEX('EDS Lookup'!$F$6:$F$2819,$G2483))</f>
        <v/>
      </c>
      <c r="F2483" s="8" t="str">
        <f>IF($G2483="","",INDEX('EDS Lookup'!$G$6:$G$2819,$G2483))</f>
        <v/>
      </c>
      <c r="G2483" t="str">
        <f>IF(2460&lt;=$B$4,IFERROR(MATCH(2460,'EDS Lookup'!$H$6:$H$2819,0),""),"")</f>
        <v/>
      </c>
      <c r="H2483" t="str">
        <f t="shared" si="38"/>
        <v/>
      </c>
    </row>
    <row r="2484" spans="1:8" ht="19.95" customHeight="1">
      <c r="A2484" s="5" t="str">
        <f>IF($G2484="","",INDEX('EDS Lookup'!$D$6:$D$2819,$G2484))</f>
        <v/>
      </c>
      <c r="B2484" s="5" t="str">
        <f>IF($G2484="","",INDEX('EDS Lookup'!$B$6:$B$2819,$G2484))</f>
        <v/>
      </c>
      <c r="C2484" s="17"/>
      <c r="D2484" s="6"/>
      <c r="E2484" s="7" t="str">
        <f>IF($G2484="","",INDEX('EDS Lookup'!$F$6:$F$2819,$G2484))</f>
        <v/>
      </c>
      <c r="F2484" s="8" t="str">
        <f>IF($G2484="","",INDEX('EDS Lookup'!$G$6:$G$2819,$G2484))</f>
        <v/>
      </c>
      <c r="G2484" t="str">
        <f>IF(2461&lt;=$B$4,IFERROR(MATCH(2461,'EDS Lookup'!$H$6:$H$2819,0),""),"")</f>
        <v/>
      </c>
      <c r="H2484" t="str">
        <f t="shared" si="38"/>
        <v/>
      </c>
    </row>
    <row r="2485" spans="1:8" ht="19.95" customHeight="1">
      <c r="A2485" s="5" t="str">
        <f>IF($G2485="","",INDEX('EDS Lookup'!$D$6:$D$2819,$G2485))</f>
        <v/>
      </c>
      <c r="B2485" s="5" t="str">
        <f>IF($G2485="","",INDEX('EDS Lookup'!$B$6:$B$2819,$G2485))</f>
        <v/>
      </c>
      <c r="C2485" s="17"/>
      <c r="D2485" s="6"/>
      <c r="E2485" s="7" t="str">
        <f>IF($G2485="","",INDEX('EDS Lookup'!$F$6:$F$2819,$G2485))</f>
        <v/>
      </c>
      <c r="F2485" s="8" t="str">
        <f>IF($G2485="","",INDEX('EDS Lookup'!$G$6:$G$2819,$G2485))</f>
        <v/>
      </c>
      <c r="G2485" t="str">
        <f>IF(2462&lt;=$B$4,IFERROR(MATCH(2462,'EDS Lookup'!$H$6:$H$2819,0),""),"")</f>
        <v/>
      </c>
      <c r="H2485" t="str">
        <f t="shared" si="38"/>
        <v/>
      </c>
    </row>
    <row r="2486" spans="1:8" ht="19.95" customHeight="1">
      <c r="A2486" s="5" t="str">
        <f>IF($G2486="","",INDEX('EDS Lookup'!$D$6:$D$2819,$G2486))</f>
        <v/>
      </c>
      <c r="B2486" s="5" t="str">
        <f>IF($G2486="","",INDEX('EDS Lookup'!$B$6:$B$2819,$G2486))</f>
        <v/>
      </c>
      <c r="C2486" s="17"/>
      <c r="D2486" s="6"/>
      <c r="E2486" s="7" t="str">
        <f>IF($G2486="","",INDEX('EDS Lookup'!$F$6:$F$2819,$G2486))</f>
        <v/>
      </c>
      <c r="F2486" s="8" t="str">
        <f>IF($G2486="","",INDEX('EDS Lookup'!$G$6:$G$2819,$G2486))</f>
        <v/>
      </c>
      <c r="G2486" t="str">
        <f>IF(2463&lt;=$B$4,IFERROR(MATCH(2463,'EDS Lookup'!$H$6:$H$2819,0),""),"")</f>
        <v/>
      </c>
      <c r="H2486" t="str">
        <f t="shared" si="38"/>
        <v/>
      </c>
    </row>
    <row r="2487" spans="1:8" ht="19.95" customHeight="1">
      <c r="A2487" s="5" t="str">
        <f>IF($G2487="","",INDEX('EDS Lookup'!$D$6:$D$2819,$G2487))</f>
        <v/>
      </c>
      <c r="B2487" s="5" t="str">
        <f>IF($G2487="","",INDEX('EDS Lookup'!$B$6:$B$2819,$G2487))</f>
        <v/>
      </c>
      <c r="C2487" s="17"/>
      <c r="D2487" s="6"/>
      <c r="E2487" s="7" t="str">
        <f>IF($G2487="","",INDEX('EDS Lookup'!$F$6:$F$2819,$G2487))</f>
        <v/>
      </c>
      <c r="F2487" s="8" t="str">
        <f>IF($G2487="","",INDEX('EDS Lookup'!$G$6:$G$2819,$G2487))</f>
        <v/>
      </c>
      <c r="G2487" t="str">
        <f>IF(2464&lt;=$B$4,IFERROR(MATCH(2464,'EDS Lookup'!$H$6:$H$2819,0),""),"")</f>
        <v/>
      </c>
      <c r="H2487" t="str">
        <f t="shared" si="38"/>
        <v/>
      </c>
    </row>
    <row r="2488" spans="1:8" ht="19.95" customHeight="1">
      <c r="A2488" s="5" t="str">
        <f>IF($G2488="","",INDEX('EDS Lookup'!$D$6:$D$2819,$G2488))</f>
        <v/>
      </c>
      <c r="B2488" s="5" t="str">
        <f>IF($G2488="","",INDEX('EDS Lookup'!$B$6:$B$2819,$G2488))</f>
        <v/>
      </c>
      <c r="C2488" s="17"/>
      <c r="D2488" s="6"/>
      <c r="E2488" s="7" t="str">
        <f>IF($G2488="","",INDEX('EDS Lookup'!$F$6:$F$2819,$G2488))</f>
        <v/>
      </c>
      <c r="F2488" s="8" t="str">
        <f>IF($G2488="","",INDEX('EDS Lookup'!$G$6:$G$2819,$G2488))</f>
        <v/>
      </c>
      <c r="G2488" t="str">
        <f>IF(2465&lt;=$B$4,IFERROR(MATCH(2465,'EDS Lookup'!$H$6:$H$2819,0),""),"")</f>
        <v/>
      </c>
      <c r="H2488" t="str">
        <f t="shared" si="38"/>
        <v/>
      </c>
    </row>
    <row r="2489" spans="1:8" ht="19.95" customHeight="1">
      <c r="A2489" s="5" t="str">
        <f>IF($G2489="","",INDEX('EDS Lookup'!$D$6:$D$2819,$G2489))</f>
        <v/>
      </c>
      <c r="B2489" s="5" t="str">
        <f>IF($G2489="","",INDEX('EDS Lookup'!$B$6:$B$2819,$G2489))</f>
        <v/>
      </c>
      <c r="C2489" s="17"/>
      <c r="D2489" s="6"/>
      <c r="E2489" s="7" t="str">
        <f>IF($G2489="","",INDEX('EDS Lookup'!$F$6:$F$2819,$G2489))</f>
        <v/>
      </c>
      <c r="F2489" s="8" t="str">
        <f>IF($G2489="","",INDEX('EDS Lookup'!$G$6:$G$2819,$G2489))</f>
        <v/>
      </c>
      <c r="G2489" t="str">
        <f>IF(2466&lt;=$B$4,IFERROR(MATCH(2466,'EDS Lookup'!$H$6:$H$2819,0),""),"")</f>
        <v/>
      </c>
      <c r="H2489" t="str">
        <f t="shared" si="38"/>
        <v/>
      </c>
    </row>
    <row r="2490" spans="1:8" ht="19.95" customHeight="1">
      <c r="A2490" s="5" t="str">
        <f>IF($G2490="","",INDEX('EDS Lookup'!$D$6:$D$2819,$G2490))</f>
        <v/>
      </c>
      <c r="B2490" s="5" t="str">
        <f>IF($G2490="","",INDEX('EDS Lookup'!$B$6:$B$2819,$G2490))</f>
        <v/>
      </c>
      <c r="C2490" s="17"/>
      <c r="D2490" s="6"/>
      <c r="E2490" s="7" t="str">
        <f>IF($G2490="","",INDEX('EDS Lookup'!$F$6:$F$2819,$G2490))</f>
        <v/>
      </c>
      <c r="F2490" s="8" t="str">
        <f>IF($G2490="","",INDEX('EDS Lookup'!$G$6:$G$2819,$G2490))</f>
        <v/>
      </c>
      <c r="G2490" t="str">
        <f>IF(2467&lt;=$B$4,IFERROR(MATCH(2467,'EDS Lookup'!$H$6:$H$2819,0),""),"")</f>
        <v/>
      </c>
      <c r="H2490" t="str">
        <f t="shared" si="38"/>
        <v/>
      </c>
    </row>
    <row r="2491" spans="1:8" ht="19.95" customHeight="1">
      <c r="A2491" s="5" t="str">
        <f>IF($G2491="","",INDEX('EDS Lookup'!$D$6:$D$2819,$G2491))</f>
        <v/>
      </c>
      <c r="B2491" s="5" t="str">
        <f>IF($G2491="","",INDEX('EDS Lookup'!$B$6:$B$2819,$G2491))</f>
        <v/>
      </c>
      <c r="C2491" s="17"/>
      <c r="D2491" s="6"/>
      <c r="E2491" s="7" t="str">
        <f>IF($G2491="","",INDEX('EDS Lookup'!$F$6:$F$2819,$G2491))</f>
        <v/>
      </c>
      <c r="F2491" s="8" t="str">
        <f>IF($G2491="","",INDEX('EDS Lookup'!$G$6:$G$2819,$G2491))</f>
        <v/>
      </c>
      <c r="G2491" t="str">
        <f>IF(2468&lt;=$B$4,IFERROR(MATCH(2468,'EDS Lookup'!$H$6:$H$2819,0),""),"")</f>
        <v/>
      </c>
      <c r="H2491" t="str">
        <f t="shared" si="38"/>
        <v/>
      </c>
    </row>
    <row r="2492" spans="1:8" ht="19.95" customHeight="1">
      <c r="A2492" s="5" t="str">
        <f>IF($G2492="","",INDEX('EDS Lookup'!$D$6:$D$2819,$G2492))</f>
        <v/>
      </c>
      <c r="B2492" s="5" t="str">
        <f>IF($G2492="","",INDEX('EDS Lookup'!$B$6:$B$2819,$G2492))</f>
        <v/>
      </c>
      <c r="C2492" s="17"/>
      <c r="D2492" s="6"/>
      <c r="E2492" s="7" t="str">
        <f>IF($G2492="","",INDEX('EDS Lookup'!$F$6:$F$2819,$G2492))</f>
        <v/>
      </c>
      <c r="F2492" s="8" t="str">
        <f>IF($G2492="","",INDEX('EDS Lookup'!$G$6:$G$2819,$G2492))</f>
        <v/>
      </c>
      <c r="G2492" t="str">
        <f>IF(2469&lt;=$B$4,IFERROR(MATCH(2469,'EDS Lookup'!$H$6:$H$2819,0),""),"")</f>
        <v/>
      </c>
      <c r="H2492" t="str">
        <f t="shared" si="38"/>
        <v/>
      </c>
    </row>
    <row r="2493" spans="1:8" ht="19.95" customHeight="1">
      <c r="A2493" s="5" t="str">
        <f>IF($G2493="","",INDEX('EDS Lookup'!$D$6:$D$2819,$G2493))</f>
        <v/>
      </c>
      <c r="B2493" s="5" t="str">
        <f>IF($G2493="","",INDEX('EDS Lookup'!$B$6:$B$2819,$G2493))</f>
        <v/>
      </c>
      <c r="C2493" s="17"/>
      <c r="D2493" s="6"/>
      <c r="E2493" s="7" t="str">
        <f>IF($G2493="","",INDEX('EDS Lookup'!$F$6:$F$2819,$G2493))</f>
        <v/>
      </c>
      <c r="F2493" s="8" t="str">
        <f>IF($G2493="","",INDEX('EDS Lookup'!$G$6:$G$2819,$G2493))</f>
        <v/>
      </c>
      <c r="G2493" t="str">
        <f>IF(2470&lt;=$B$4,IFERROR(MATCH(2470,'EDS Lookup'!$H$6:$H$2819,0),""),"")</f>
        <v/>
      </c>
      <c r="H2493" t="str">
        <f t="shared" si="38"/>
        <v/>
      </c>
    </row>
    <row r="2494" spans="1:8" ht="19.95" customHeight="1">
      <c r="A2494" s="5" t="str">
        <f>IF($G2494="","",INDEX('EDS Lookup'!$D$6:$D$2819,$G2494))</f>
        <v/>
      </c>
      <c r="B2494" s="5" t="str">
        <f>IF($G2494="","",INDEX('EDS Lookup'!$B$6:$B$2819,$G2494))</f>
        <v/>
      </c>
      <c r="C2494" s="17"/>
      <c r="D2494" s="6"/>
      <c r="E2494" s="7" t="str">
        <f>IF($G2494="","",INDEX('EDS Lookup'!$F$6:$F$2819,$G2494))</f>
        <v/>
      </c>
      <c r="F2494" s="8" t="str">
        <f>IF($G2494="","",INDEX('EDS Lookup'!$G$6:$G$2819,$G2494))</f>
        <v/>
      </c>
      <c r="G2494" t="str">
        <f>IF(2471&lt;=$B$4,IFERROR(MATCH(2471,'EDS Lookup'!$H$6:$H$2819,0),""),"")</f>
        <v/>
      </c>
      <c r="H2494" t="str">
        <f t="shared" si="38"/>
        <v/>
      </c>
    </row>
    <row r="2495" spans="1:8" ht="19.95" customHeight="1">
      <c r="A2495" s="5" t="str">
        <f>IF($G2495="","",INDEX('EDS Lookup'!$D$6:$D$2819,$G2495))</f>
        <v/>
      </c>
      <c r="B2495" s="5" t="str">
        <f>IF($G2495="","",INDEX('EDS Lookup'!$B$6:$B$2819,$G2495))</f>
        <v/>
      </c>
      <c r="C2495" s="17"/>
      <c r="D2495" s="6"/>
      <c r="E2495" s="7" t="str">
        <f>IF($G2495="","",INDEX('EDS Lookup'!$F$6:$F$2819,$G2495))</f>
        <v/>
      </c>
      <c r="F2495" s="8" t="str">
        <f>IF($G2495="","",INDEX('EDS Lookup'!$G$6:$G$2819,$G2495))</f>
        <v/>
      </c>
      <c r="G2495" t="str">
        <f>IF(2472&lt;=$B$4,IFERROR(MATCH(2472,'EDS Lookup'!$H$6:$H$2819,0),""),"")</f>
        <v/>
      </c>
      <c r="H2495" t="str">
        <f t="shared" si="38"/>
        <v/>
      </c>
    </row>
    <row r="2496" spans="1:8" ht="19.95" customHeight="1">
      <c r="A2496" s="5" t="str">
        <f>IF($G2496="","",INDEX('EDS Lookup'!$D$6:$D$2819,$G2496))</f>
        <v/>
      </c>
      <c r="B2496" s="5" t="str">
        <f>IF($G2496="","",INDEX('EDS Lookup'!$B$6:$B$2819,$G2496))</f>
        <v/>
      </c>
      <c r="C2496" s="17"/>
      <c r="D2496" s="6"/>
      <c r="E2496" s="7" t="str">
        <f>IF($G2496="","",INDEX('EDS Lookup'!$F$6:$F$2819,$G2496))</f>
        <v/>
      </c>
      <c r="F2496" s="8" t="str">
        <f>IF($G2496="","",INDEX('EDS Lookup'!$G$6:$G$2819,$G2496))</f>
        <v/>
      </c>
      <c r="G2496" t="str">
        <f>IF(2473&lt;=$B$4,IFERROR(MATCH(2473,'EDS Lookup'!$H$6:$H$2819,0),""),"")</f>
        <v/>
      </c>
      <c r="H2496" t="str">
        <f t="shared" si="38"/>
        <v/>
      </c>
    </row>
    <row r="2497" spans="1:8" ht="19.95" customHeight="1">
      <c r="A2497" s="5" t="str">
        <f>IF($G2497="","",INDEX('EDS Lookup'!$D$6:$D$2819,$G2497))</f>
        <v/>
      </c>
      <c r="B2497" s="5" t="str">
        <f>IF($G2497="","",INDEX('EDS Lookup'!$B$6:$B$2819,$G2497))</f>
        <v/>
      </c>
      <c r="C2497" s="17"/>
      <c r="D2497" s="6"/>
      <c r="E2497" s="7" t="str">
        <f>IF($G2497="","",INDEX('EDS Lookup'!$F$6:$F$2819,$G2497))</f>
        <v/>
      </c>
      <c r="F2497" s="8" t="str">
        <f>IF($G2497="","",INDEX('EDS Lookup'!$G$6:$G$2819,$G2497))</f>
        <v/>
      </c>
      <c r="G2497" t="str">
        <f>IF(2474&lt;=$B$4,IFERROR(MATCH(2474,'EDS Lookup'!$H$6:$H$2819,0),""),"")</f>
        <v/>
      </c>
      <c r="H2497" t="str">
        <f t="shared" si="38"/>
        <v/>
      </c>
    </row>
    <row r="2498" spans="1:8" ht="19.95" customHeight="1">
      <c r="A2498" s="5" t="str">
        <f>IF($G2498="","",INDEX('EDS Lookup'!$D$6:$D$2819,$G2498))</f>
        <v/>
      </c>
      <c r="B2498" s="5" t="str">
        <f>IF($G2498="","",INDEX('EDS Lookup'!$B$6:$B$2819,$G2498))</f>
        <v/>
      </c>
      <c r="C2498" s="17"/>
      <c r="D2498" s="6"/>
      <c r="E2498" s="7" t="str">
        <f>IF($G2498="","",INDEX('EDS Lookup'!$F$6:$F$2819,$G2498))</f>
        <v/>
      </c>
      <c r="F2498" s="8" t="str">
        <f>IF($G2498="","",INDEX('EDS Lookup'!$G$6:$G$2819,$G2498))</f>
        <v/>
      </c>
      <c r="G2498" t="str">
        <f>IF(2475&lt;=$B$4,IFERROR(MATCH(2475,'EDS Lookup'!$H$6:$H$2819,0),""),"")</f>
        <v/>
      </c>
      <c r="H2498" t="str">
        <f t="shared" si="38"/>
        <v/>
      </c>
    </row>
    <row r="2499" spans="1:8" ht="19.95" customHeight="1">
      <c r="A2499" s="5" t="str">
        <f>IF($G2499="","",INDEX('EDS Lookup'!$D$6:$D$2819,$G2499))</f>
        <v/>
      </c>
      <c r="B2499" s="5" t="str">
        <f>IF($G2499="","",INDEX('EDS Lookup'!$B$6:$B$2819,$G2499))</f>
        <v/>
      </c>
      <c r="C2499" s="17"/>
      <c r="D2499" s="6"/>
      <c r="E2499" s="7" t="str">
        <f>IF($G2499="","",INDEX('EDS Lookup'!$F$6:$F$2819,$G2499))</f>
        <v/>
      </c>
      <c r="F2499" s="8" t="str">
        <f>IF($G2499="","",INDEX('EDS Lookup'!$G$6:$G$2819,$G2499))</f>
        <v/>
      </c>
      <c r="G2499" t="str">
        <f>IF(2476&lt;=$B$4,IFERROR(MATCH(2476,'EDS Lookup'!$H$6:$H$2819,0),""),"")</f>
        <v/>
      </c>
      <c r="H2499" t="str">
        <f t="shared" si="38"/>
        <v/>
      </c>
    </row>
    <row r="2500" spans="1:8" ht="19.95" customHeight="1">
      <c r="A2500" s="5" t="str">
        <f>IF($G2500="","",INDEX('EDS Lookup'!$D$6:$D$2819,$G2500))</f>
        <v/>
      </c>
      <c r="B2500" s="5" t="str">
        <f>IF($G2500="","",INDEX('EDS Lookup'!$B$6:$B$2819,$G2500))</f>
        <v/>
      </c>
      <c r="C2500" s="17"/>
      <c r="D2500" s="6"/>
      <c r="E2500" s="7" t="str">
        <f>IF($G2500="","",INDEX('EDS Lookup'!$F$6:$F$2819,$G2500))</f>
        <v/>
      </c>
      <c r="F2500" s="8" t="str">
        <f>IF($G2500="","",INDEX('EDS Lookup'!$G$6:$G$2819,$G2500))</f>
        <v/>
      </c>
      <c r="G2500" t="str">
        <f>IF(2477&lt;=$B$4,IFERROR(MATCH(2477,'EDS Lookup'!$H$6:$H$2819,0),""),"")</f>
        <v/>
      </c>
      <c r="H2500" t="str">
        <f t="shared" si="38"/>
        <v/>
      </c>
    </row>
    <row r="2501" spans="1:8" ht="19.95" customHeight="1">
      <c r="A2501" s="5" t="str">
        <f>IF($G2501="","",INDEX('EDS Lookup'!$D$6:$D$2819,$G2501))</f>
        <v/>
      </c>
      <c r="B2501" s="5" t="str">
        <f>IF($G2501="","",INDEX('EDS Lookup'!$B$6:$B$2819,$G2501))</f>
        <v/>
      </c>
      <c r="C2501" s="17"/>
      <c r="D2501" s="6"/>
      <c r="E2501" s="7" t="str">
        <f>IF($G2501="","",INDEX('EDS Lookup'!$F$6:$F$2819,$G2501))</f>
        <v/>
      </c>
      <c r="F2501" s="8" t="str">
        <f>IF($G2501="","",INDEX('EDS Lookup'!$G$6:$G$2819,$G2501))</f>
        <v/>
      </c>
      <c r="G2501" t="str">
        <f>IF(2478&lt;=$B$4,IFERROR(MATCH(2478,'EDS Lookup'!$H$6:$H$2819,0),""),"")</f>
        <v/>
      </c>
      <c r="H2501" t="str">
        <f t="shared" si="38"/>
        <v/>
      </c>
    </row>
    <row r="2502" spans="1:8" ht="19.95" customHeight="1">
      <c r="A2502" s="5" t="str">
        <f>IF($G2502="","",INDEX('EDS Lookup'!$D$6:$D$2819,$G2502))</f>
        <v/>
      </c>
      <c r="B2502" s="5" t="str">
        <f>IF($G2502="","",INDEX('EDS Lookup'!$B$6:$B$2819,$G2502))</f>
        <v/>
      </c>
      <c r="C2502" s="17"/>
      <c r="D2502" s="6"/>
      <c r="E2502" s="7" t="str">
        <f>IF($G2502="","",INDEX('EDS Lookup'!$F$6:$F$2819,$G2502))</f>
        <v/>
      </c>
      <c r="F2502" s="8" t="str">
        <f>IF($G2502="","",INDEX('EDS Lookup'!$G$6:$G$2819,$G2502))</f>
        <v/>
      </c>
      <c r="G2502" t="str">
        <f>IF(2479&lt;=$B$4,IFERROR(MATCH(2479,'EDS Lookup'!$H$6:$H$2819,0),""),"")</f>
        <v/>
      </c>
      <c r="H2502" t="str">
        <f t="shared" si="38"/>
        <v/>
      </c>
    </row>
    <row r="2503" spans="1:8" ht="19.95" customHeight="1">
      <c r="A2503" s="5" t="str">
        <f>IF($G2503="","",INDEX('EDS Lookup'!$D$6:$D$2819,$G2503))</f>
        <v/>
      </c>
      <c r="B2503" s="5" t="str">
        <f>IF($G2503="","",INDEX('EDS Lookup'!$B$6:$B$2819,$G2503))</f>
        <v/>
      </c>
      <c r="C2503" s="17"/>
      <c r="D2503" s="6"/>
      <c r="E2503" s="7" t="str">
        <f>IF($G2503="","",INDEX('EDS Lookup'!$F$6:$F$2819,$G2503))</f>
        <v/>
      </c>
      <c r="F2503" s="8" t="str">
        <f>IF($G2503="","",INDEX('EDS Lookup'!$G$6:$G$2819,$G2503))</f>
        <v/>
      </c>
      <c r="G2503" t="str">
        <f>IF(2480&lt;=$B$4,IFERROR(MATCH(2480,'EDS Lookup'!$H$6:$H$2819,0),""),"")</f>
        <v/>
      </c>
      <c r="H2503" t="str">
        <f t="shared" si="38"/>
        <v/>
      </c>
    </row>
    <row r="2504" spans="1:8" ht="19.95" customHeight="1">
      <c r="A2504" s="5" t="str">
        <f>IF($G2504="","",INDEX('EDS Lookup'!$D$6:$D$2819,$G2504))</f>
        <v/>
      </c>
      <c r="B2504" s="5" t="str">
        <f>IF($G2504="","",INDEX('EDS Lookup'!$B$6:$B$2819,$G2504))</f>
        <v/>
      </c>
      <c r="C2504" s="17"/>
      <c r="D2504" s="6"/>
      <c r="E2504" s="7" t="str">
        <f>IF($G2504="","",INDEX('EDS Lookup'!$F$6:$F$2819,$G2504))</f>
        <v/>
      </c>
      <c r="F2504" s="8" t="str">
        <f>IF($G2504="","",INDEX('EDS Lookup'!$G$6:$G$2819,$G2504))</f>
        <v/>
      </c>
      <c r="G2504" t="str">
        <f>IF(2481&lt;=$B$4,IFERROR(MATCH(2481,'EDS Lookup'!$H$6:$H$2819,0),""),"")</f>
        <v/>
      </c>
      <c r="H2504" t="str">
        <f t="shared" si="38"/>
        <v/>
      </c>
    </row>
    <row r="2505" spans="1:8" ht="19.95" customHeight="1">
      <c r="A2505" s="5" t="str">
        <f>IF($G2505="","",INDEX('EDS Lookup'!$D$6:$D$2819,$G2505))</f>
        <v/>
      </c>
      <c r="B2505" s="5" t="str">
        <f>IF($G2505="","",INDEX('EDS Lookup'!$B$6:$B$2819,$G2505))</f>
        <v/>
      </c>
      <c r="C2505" s="17"/>
      <c r="D2505" s="6"/>
      <c r="E2505" s="7" t="str">
        <f>IF($G2505="","",INDEX('EDS Lookup'!$F$6:$F$2819,$G2505))</f>
        <v/>
      </c>
      <c r="F2505" s="8" t="str">
        <f>IF($G2505="","",INDEX('EDS Lookup'!$G$6:$G$2819,$G2505))</f>
        <v/>
      </c>
      <c r="G2505" t="str">
        <f>IF(2482&lt;=$B$4,IFERROR(MATCH(2482,'EDS Lookup'!$H$6:$H$2819,0),""),"")</f>
        <v/>
      </c>
      <c r="H2505" t="str">
        <f t="shared" si="38"/>
        <v/>
      </c>
    </row>
    <row r="2506" spans="1:8" ht="19.95" customHeight="1">
      <c r="A2506" s="5" t="str">
        <f>IF($G2506="","",INDEX('EDS Lookup'!$D$6:$D$2819,$G2506))</f>
        <v/>
      </c>
      <c r="B2506" s="5" t="str">
        <f>IF($G2506="","",INDEX('EDS Lookup'!$B$6:$B$2819,$G2506))</f>
        <v/>
      </c>
      <c r="C2506" s="17"/>
      <c r="D2506" s="6"/>
      <c r="E2506" s="7" t="str">
        <f>IF($G2506="","",INDEX('EDS Lookup'!$F$6:$F$2819,$G2506))</f>
        <v/>
      </c>
      <c r="F2506" s="8" t="str">
        <f>IF($G2506="","",INDEX('EDS Lookup'!$G$6:$G$2819,$G2506))</f>
        <v/>
      </c>
      <c r="G2506" t="str">
        <f>IF(2483&lt;=$B$4,IFERROR(MATCH(2483,'EDS Lookup'!$H$6:$H$2819,0),""),"")</f>
        <v/>
      </c>
      <c r="H2506" t="str">
        <f t="shared" si="38"/>
        <v/>
      </c>
    </row>
    <row r="2507" spans="1:8" ht="19.95" customHeight="1">
      <c r="A2507" s="5" t="str">
        <f>IF($G2507="","",INDEX('EDS Lookup'!$D$6:$D$2819,$G2507))</f>
        <v/>
      </c>
      <c r="B2507" s="5" t="str">
        <f>IF($G2507="","",INDEX('EDS Lookup'!$B$6:$B$2819,$G2507))</f>
        <v/>
      </c>
      <c r="C2507" s="17"/>
      <c r="D2507" s="6"/>
      <c r="E2507" s="7" t="str">
        <f>IF($G2507="","",INDEX('EDS Lookup'!$F$6:$F$2819,$G2507))</f>
        <v/>
      </c>
      <c r="F2507" s="8" t="str">
        <f>IF($G2507="","",INDEX('EDS Lookup'!$G$6:$G$2819,$G2507))</f>
        <v/>
      </c>
      <c r="G2507" t="str">
        <f>IF(2484&lt;=$B$4,IFERROR(MATCH(2484,'EDS Lookup'!$H$6:$H$2819,0),""),"")</f>
        <v/>
      </c>
      <c r="H2507" t="str">
        <f t="shared" si="38"/>
        <v/>
      </c>
    </row>
    <row r="2508" spans="1:8" ht="19.95" customHeight="1">
      <c r="A2508" s="5" t="str">
        <f>IF($G2508="","",INDEX('EDS Lookup'!$D$6:$D$2819,$G2508))</f>
        <v/>
      </c>
      <c r="B2508" s="5" t="str">
        <f>IF($G2508="","",INDEX('EDS Lookup'!$B$6:$B$2819,$G2508))</f>
        <v/>
      </c>
      <c r="C2508" s="17"/>
      <c r="D2508" s="6"/>
      <c r="E2508" s="7" t="str">
        <f>IF($G2508="","",INDEX('EDS Lookup'!$F$6:$F$2819,$G2508))</f>
        <v/>
      </c>
      <c r="F2508" s="8" t="str">
        <f>IF($G2508="","",INDEX('EDS Lookup'!$G$6:$G$2819,$G2508))</f>
        <v/>
      </c>
      <c r="G2508" t="str">
        <f>IF(2485&lt;=$B$4,IFERROR(MATCH(2485,'EDS Lookup'!$H$6:$H$2819,0),""),"")</f>
        <v/>
      </c>
      <c r="H2508" t="str">
        <f t="shared" si="38"/>
        <v/>
      </c>
    </row>
    <row r="2509" spans="1:8" ht="19.95" customHeight="1">
      <c r="A2509" s="5" t="str">
        <f>IF($G2509="","",INDEX('EDS Lookup'!$D$6:$D$2819,$G2509))</f>
        <v/>
      </c>
      <c r="B2509" s="5" t="str">
        <f>IF($G2509="","",INDEX('EDS Lookup'!$B$6:$B$2819,$G2509))</f>
        <v/>
      </c>
      <c r="C2509" s="17"/>
      <c r="D2509" s="6"/>
      <c r="E2509" s="7" t="str">
        <f>IF($G2509="","",INDEX('EDS Lookup'!$F$6:$F$2819,$G2509))</f>
        <v/>
      </c>
      <c r="F2509" s="8" t="str">
        <f>IF($G2509="","",INDEX('EDS Lookup'!$G$6:$G$2819,$G2509))</f>
        <v/>
      </c>
      <c r="G2509" t="str">
        <f>IF(2486&lt;=$B$4,IFERROR(MATCH(2486,'EDS Lookup'!$H$6:$H$2819,0),""),"")</f>
        <v/>
      </c>
      <c r="H2509" t="str">
        <f t="shared" si="38"/>
        <v/>
      </c>
    </row>
    <row r="2510" spans="1:8" ht="19.95" customHeight="1">
      <c r="A2510" s="5" t="str">
        <f>IF($G2510="","",INDEX('EDS Lookup'!$D$6:$D$2819,$G2510))</f>
        <v/>
      </c>
      <c r="B2510" s="5" t="str">
        <f>IF($G2510="","",INDEX('EDS Lookup'!$B$6:$B$2819,$G2510))</f>
        <v/>
      </c>
      <c r="C2510" s="17"/>
      <c r="D2510" s="6"/>
      <c r="E2510" s="7" t="str">
        <f>IF($G2510="","",INDEX('EDS Lookup'!$F$6:$F$2819,$G2510))</f>
        <v/>
      </c>
      <c r="F2510" s="8" t="str">
        <f>IF($G2510="","",INDEX('EDS Lookup'!$G$6:$G$2819,$G2510))</f>
        <v/>
      </c>
      <c r="G2510" t="str">
        <f>IF(2487&lt;=$B$4,IFERROR(MATCH(2487,'EDS Lookup'!$H$6:$H$2819,0),""),"")</f>
        <v/>
      </c>
      <c r="H2510" t="str">
        <f t="shared" si="38"/>
        <v/>
      </c>
    </row>
    <row r="2511" spans="1:8" ht="19.95" customHeight="1">
      <c r="A2511" s="5" t="str">
        <f>IF($G2511="","",INDEX('EDS Lookup'!$D$6:$D$2819,$G2511))</f>
        <v/>
      </c>
      <c r="B2511" s="5" t="str">
        <f>IF($G2511="","",INDEX('EDS Lookup'!$B$6:$B$2819,$G2511))</f>
        <v/>
      </c>
      <c r="C2511" s="17"/>
      <c r="D2511" s="6"/>
      <c r="E2511" s="7" t="str">
        <f>IF($G2511="","",INDEX('EDS Lookup'!$F$6:$F$2819,$G2511))</f>
        <v/>
      </c>
      <c r="F2511" s="8" t="str">
        <f>IF($G2511="","",INDEX('EDS Lookup'!$G$6:$G$2819,$G2511))</f>
        <v/>
      </c>
      <c r="G2511" t="str">
        <f>IF(2488&lt;=$B$4,IFERROR(MATCH(2488,'EDS Lookup'!$H$6:$H$2819,0),""),"")</f>
        <v/>
      </c>
      <c r="H2511" t="str">
        <f t="shared" si="38"/>
        <v/>
      </c>
    </row>
    <row r="2512" spans="1:8" ht="19.95" customHeight="1">
      <c r="A2512" s="5" t="str">
        <f>IF($G2512="","",INDEX('EDS Lookup'!$D$6:$D$2819,$G2512))</f>
        <v/>
      </c>
      <c r="B2512" s="5" t="str">
        <f>IF($G2512="","",INDEX('EDS Lookup'!$B$6:$B$2819,$G2512))</f>
        <v/>
      </c>
      <c r="C2512" s="17"/>
      <c r="D2512" s="6"/>
      <c r="E2512" s="7" t="str">
        <f>IF($G2512="","",INDEX('EDS Lookup'!$F$6:$F$2819,$G2512))</f>
        <v/>
      </c>
      <c r="F2512" s="8" t="str">
        <f>IF($G2512="","",INDEX('EDS Lookup'!$G$6:$G$2819,$G2512))</f>
        <v/>
      </c>
      <c r="G2512" t="str">
        <f>IF(2489&lt;=$B$4,IFERROR(MATCH(2489,'EDS Lookup'!$H$6:$H$2819,0),""),"")</f>
        <v/>
      </c>
      <c r="H2512" t="str">
        <f t="shared" si="38"/>
        <v/>
      </c>
    </row>
    <row r="2513" spans="1:8" ht="19.95" customHeight="1">
      <c r="A2513" s="5" t="str">
        <f>IF($G2513="","",INDEX('EDS Lookup'!$D$6:$D$2819,$G2513))</f>
        <v/>
      </c>
      <c r="B2513" s="5" t="str">
        <f>IF($G2513="","",INDEX('EDS Lookup'!$B$6:$B$2819,$G2513))</f>
        <v/>
      </c>
      <c r="C2513" s="17"/>
      <c r="D2513" s="6"/>
      <c r="E2513" s="7" t="str">
        <f>IF($G2513="","",INDEX('EDS Lookup'!$F$6:$F$2819,$G2513))</f>
        <v/>
      </c>
      <c r="F2513" s="8" t="str">
        <f>IF($G2513="","",INDEX('EDS Lookup'!$G$6:$G$2819,$G2513))</f>
        <v/>
      </c>
      <c r="G2513" t="str">
        <f>IF(2490&lt;=$B$4,IFERROR(MATCH(2490,'EDS Lookup'!$H$6:$H$2819,0),""),"")</f>
        <v/>
      </c>
      <c r="H2513" t="str">
        <f t="shared" si="38"/>
        <v/>
      </c>
    </row>
    <row r="2514" spans="1:8" ht="19.95" customHeight="1">
      <c r="A2514" s="5" t="str">
        <f>IF($G2514="","",INDEX('EDS Lookup'!$D$6:$D$2819,$G2514))</f>
        <v/>
      </c>
      <c r="B2514" s="5" t="str">
        <f>IF($G2514="","",INDEX('EDS Lookup'!$B$6:$B$2819,$G2514))</f>
        <v/>
      </c>
      <c r="C2514" s="17"/>
      <c r="D2514" s="6"/>
      <c r="E2514" s="7" t="str">
        <f>IF($G2514="","",INDEX('EDS Lookup'!$F$6:$F$2819,$G2514))</f>
        <v/>
      </c>
      <c r="F2514" s="8" t="str">
        <f>IF($G2514="","",INDEX('EDS Lookup'!$G$6:$G$2819,$G2514))</f>
        <v/>
      </c>
      <c r="G2514" t="str">
        <f>IF(2491&lt;=$B$4,IFERROR(MATCH(2491,'EDS Lookup'!$H$6:$H$2819,0),""),"")</f>
        <v/>
      </c>
      <c r="H2514" t="str">
        <f t="shared" si="38"/>
        <v/>
      </c>
    </row>
    <row r="2515" spans="1:8" ht="19.95" customHeight="1">
      <c r="A2515" s="5" t="str">
        <f>IF($G2515="","",INDEX('EDS Lookup'!$D$6:$D$2819,$G2515))</f>
        <v/>
      </c>
      <c r="B2515" s="5" t="str">
        <f>IF($G2515="","",INDEX('EDS Lookup'!$B$6:$B$2819,$G2515))</f>
        <v/>
      </c>
      <c r="C2515" s="17"/>
      <c r="D2515" s="6"/>
      <c r="E2515" s="7" t="str">
        <f>IF($G2515="","",INDEX('EDS Lookup'!$F$6:$F$2819,$G2515))</f>
        <v/>
      </c>
      <c r="F2515" s="8" t="str">
        <f>IF($G2515="","",INDEX('EDS Lookup'!$G$6:$G$2819,$G2515))</f>
        <v/>
      </c>
      <c r="G2515" t="str">
        <f>IF(2492&lt;=$B$4,IFERROR(MATCH(2492,'EDS Lookup'!$H$6:$H$2819,0),""),"")</f>
        <v/>
      </c>
      <c r="H2515" t="str">
        <f t="shared" si="38"/>
        <v/>
      </c>
    </row>
    <row r="2516" spans="1:8" ht="19.95" customHeight="1">
      <c r="A2516" s="5" t="str">
        <f>IF($G2516="","",INDEX('EDS Lookup'!$D$6:$D$2819,$G2516))</f>
        <v/>
      </c>
      <c r="B2516" s="5" t="str">
        <f>IF($G2516="","",INDEX('EDS Lookup'!$B$6:$B$2819,$G2516))</f>
        <v/>
      </c>
      <c r="C2516" s="17"/>
      <c r="D2516" s="6"/>
      <c r="E2516" s="7" t="str">
        <f>IF($G2516="","",INDEX('EDS Lookup'!$F$6:$F$2819,$G2516))</f>
        <v/>
      </c>
      <c r="F2516" s="8" t="str">
        <f>IF($G2516="","",INDEX('EDS Lookup'!$G$6:$G$2819,$G2516))</f>
        <v/>
      </c>
      <c r="G2516" t="str">
        <f>IF(2493&lt;=$B$4,IFERROR(MATCH(2493,'EDS Lookup'!$H$6:$H$2819,0),""),"")</f>
        <v/>
      </c>
      <c r="H2516" t="str">
        <f t="shared" si="38"/>
        <v/>
      </c>
    </row>
    <row r="2517" spans="1:8" ht="19.95" customHeight="1">
      <c r="A2517" s="5" t="str">
        <f>IF($G2517="","",INDEX('EDS Lookup'!$D$6:$D$2819,$G2517))</f>
        <v/>
      </c>
      <c r="B2517" s="5" t="str">
        <f>IF($G2517="","",INDEX('EDS Lookup'!$B$6:$B$2819,$G2517))</f>
        <v/>
      </c>
      <c r="C2517" s="17"/>
      <c r="D2517" s="6"/>
      <c r="E2517" s="7" t="str">
        <f>IF($G2517="","",INDEX('EDS Lookup'!$F$6:$F$2819,$G2517))</f>
        <v/>
      </c>
      <c r="F2517" s="8" t="str">
        <f>IF($G2517="","",INDEX('EDS Lookup'!$G$6:$G$2819,$G2517))</f>
        <v/>
      </c>
      <c r="G2517" t="str">
        <f>IF(2494&lt;=$B$4,IFERROR(MATCH(2494,'EDS Lookup'!$H$6:$H$2819,0),""),"")</f>
        <v/>
      </c>
      <c r="H2517" t="str">
        <f t="shared" si="38"/>
        <v/>
      </c>
    </row>
    <row r="2518" spans="1:8" ht="19.95" customHeight="1">
      <c r="A2518" s="5" t="str">
        <f>IF($G2518="","",INDEX('EDS Lookup'!$D$6:$D$2819,$G2518))</f>
        <v/>
      </c>
      <c r="B2518" s="5" t="str">
        <f>IF($G2518="","",INDEX('EDS Lookup'!$B$6:$B$2819,$G2518))</f>
        <v/>
      </c>
      <c r="C2518" s="17"/>
      <c r="D2518" s="6"/>
      <c r="E2518" s="7" t="str">
        <f>IF($G2518="","",INDEX('EDS Lookup'!$F$6:$F$2819,$G2518))</f>
        <v/>
      </c>
      <c r="F2518" s="8" t="str">
        <f>IF($G2518="","",INDEX('EDS Lookup'!$G$6:$G$2819,$G2518))</f>
        <v/>
      </c>
      <c r="G2518" t="str">
        <f>IF(2495&lt;=$B$4,IFERROR(MATCH(2495,'EDS Lookup'!$H$6:$H$2819,0),""),"")</f>
        <v/>
      </c>
      <c r="H2518" t="str">
        <f t="shared" si="38"/>
        <v/>
      </c>
    </row>
    <row r="2519" spans="1:8" ht="19.95" customHeight="1">
      <c r="A2519" s="5" t="str">
        <f>IF($G2519="","",INDEX('EDS Lookup'!$D$6:$D$2819,$G2519))</f>
        <v/>
      </c>
      <c r="B2519" s="5" t="str">
        <f>IF($G2519="","",INDEX('EDS Lookup'!$B$6:$B$2819,$G2519))</f>
        <v/>
      </c>
      <c r="C2519" s="17"/>
      <c r="D2519" s="6"/>
      <c r="E2519" s="7" t="str">
        <f>IF($G2519="","",INDEX('EDS Lookup'!$F$6:$F$2819,$G2519))</f>
        <v/>
      </c>
      <c r="F2519" s="8" t="str">
        <f>IF($G2519="","",INDEX('EDS Lookup'!$G$6:$G$2819,$G2519))</f>
        <v/>
      </c>
      <c r="G2519" t="str">
        <f>IF(2496&lt;=$B$4,IFERROR(MATCH(2496,'EDS Lookup'!$H$6:$H$2819,0),""),"")</f>
        <v/>
      </c>
      <c r="H2519" t="str">
        <f t="shared" si="38"/>
        <v/>
      </c>
    </row>
    <row r="2520" spans="1:8" ht="19.95" customHeight="1">
      <c r="A2520" s="5" t="str">
        <f>IF($G2520="","",INDEX('EDS Lookup'!$D$6:$D$2819,$G2520))</f>
        <v/>
      </c>
      <c r="B2520" s="5" t="str">
        <f>IF($G2520="","",INDEX('EDS Lookup'!$B$6:$B$2819,$G2520))</f>
        <v/>
      </c>
      <c r="C2520" s="17"/>
      <c r="D2520" s="6"/>
      <c r="E2520" s="7" t="str">
        <f>IF($G2520="","",INDEX('EDS Lookup'!$F$6:$F$2819,$G2520))</f>
        <v/>
      </c>
      <c r="F2520" s="8" t="str">
        <f>IF($G2520="","",INDEX('EDS Lookup'!$G$6:$G$2819,$G2520))</f>
        <v/>
      </c>
      <c r="G2520" t="str">
        <f>IF(2497&lt;=$B$4,IFERROR(MATCH(2497,'EDS Lookup'!$H$6:$H$2819,0),""),"")</f>
        <v/>
      </c>
      <c r="H2520" t="str">
        <f t="shared" ref="H2520:H2583" si="39">IF(F2520="&lt;5",5,IF(F2520="&gt;95",95,IF(ISNUMBER(F2520),F2520,"")))</f>
        <v/>
      </c>
    </row>
    <row r="2521" spans="1:8" ht="19.95" customHeight="1">
      <c r="A2521" s="5" t="str">
        <f>IF($G2521="","",INDEX('EDS Lookup'!$D$6:$D$2819,$G2521))</f>
        <v/>
      </c>
      <c r="B2521" s="5" t="str">
        <f>IF($G2521="","",INDEX('EDS Lookup'!$B$6:$B$2819,$G2521))</f>
        <v/>
      </c>
      <c r="C2521" s="17"/>
      <c r="D2521" s="6"/>
      <c r="E2521" s="7" t="str">
        <f>IF($G2521="","",INDEX('EDS Lookup'!$F$6:$F$2819,$G2521))</f>
        <v/>
      </c>
      <c r="F2521" s="8" t="str">
        <f>IF($G2521="","",INDEX('EDS Lookup'!$G$6:$G$2819,$G2521))</f>
        <v/>
      </c>
      <c r="G2521" t="str">
        <f>IF(2498&lt;=$B$4,IFERROR(MATCH(2498,'EDS Lookup'!$H$6:$H$2819,0),""),"")</f>
        <v/>
      </c>
      <c r="H2521" t="str">
        <f t="shared" si="39"/>
        <v/>
      </c>
    </row>
    <row r="2522" spans="1:8" ht="19.95" customHeight="1">
      <c r="A2522" s="5" t="str">
        <f>IF($G2522="","",INDEX('EDS Lookup'!$D$6:$D$2819,$G2522))</f>
        <v/>
      </c>
      <c r="B2522" s="5" t="str">
        <f>IF($G2522="","",INDEX('EDS Lookup'!$B$6:$B$2819,$G2522))</f>
        <v/>
      </c>
      <c r="C2522" s="17"/>
      <c r="D2522" s="6"/>
      <c r="E2522" s="7" t="str">
        <f>IF($G2522="","",INDEX('EDS Lookup'!$F$6:$F$2819,$G2522))</f>
        <v/>
      </c>
      <c r="F2522" s="8" t="str">
        <f>IF($G2522="","",INDEX('EDS Lookup'!$G$6:$G$2819,$G2522))</f>
        <v/>
      </c>
      <c r="G2522" t="str">
        <f>IF(2499&lt;=$B$4,IFERROR(MATCH(2499,'EDS Lookup'!$H$6:$H$2819,0),""),"")</f>
        <v/>
      </c>
      <c r="H2522" t="str">
        <f t="shared" si="39"/>
        <v/>
      </c>
    </row>
    <row r="2523" spans="1:8" ht="19.95" customHeight="1">
      <c r="A2523" s="5" t="str">
        <f>IF($G2523="","",INDEX('EDS Lookup'!$D$6:$D$2819,$G2523))</f>
        <v/>
      </c>
      <c r="B2523" s="5" t="str">
        <f>IF($G2523="","",INDEX('EDS Lookup'!$B$6:$B$2819,$G2523))</f>
        <v/>
      </c>
      <c r="C2523" s="17"/>
      <c r="D2523" s="6"/>
      <c r="E2523" s="7" t="str">
        <f>IF($G2523="","",INDEX('EDS Lookup'!$F$6:$F$2819,$G2523))</f>
        <v/>
      </c>
      <c r="F2523" s="8" t="str">
        <f>IF($G2523="","",INDEX('EDS Lookup'!$G$6:$G$2819,$G2523))</f>
        <v/>
      </c>
      <c r="G2523" t="str">
        <f>IF(2500&lt;=$B$4,IFERROR(MATCH(2500,'EDS Lookup'!$H$6:$H$2819,0),""),"")</f>
        <v/>
      </c>
      <c r="H2523" t="str">
        <f t="shared" si="39"/>
        <v/>
      </c>
    </row>
    <row r="2524" spans="1:8" ht="19.95" customHeight="1">
      <c r="A2524" s="5" t="str">
        <f>IF($G2524="","",INDEX('EDS Lookup'!$D$6:$D$2819,$G2524))</f>
        <v/>
      </c>
      <c r="B2524" s="5" t="str">
        <f>IF($G2524="","",INDEX('EDS Lookup'!$B$6:$B$2819,$G2524))</f>
        <v/>
      </c>
      <c r="C2524" s="17"/>
      <c r="D2524" s="6"/>
      <c r="E2524" s="7" t="str">
        <f>IF($G2524="","",INDEX('EDS Lookup'!$F$6:$F$2819,$G2524))</f>
        <v/>
      </c>
      <c r="F2524" s="8" t="str">
        <f>IF($G2524="","",INDEX('EDS Lookup'!$G$6:$G$2819,$G2524))</f>
        <v/>
      </c>
      <c r="G2524" t="str">
        <f>IF(2501&lt;=$B$4,IFERROR(MATCH(2501,'EDS Lookup'!$H$6:$H$2819,0),""),"")</f>
        <v/>
      </c>
      <c r="H2524" t="str">
        <f t="shared" si="39"/>
        <v/>
      </c>
    </row>
    <row r="2525" spans="1:8" ht="19.95" customHeight="1">
      <c r="A2525" s="5" t="str">
        <f>IF($G2525="","",INDEX('EDS Lookup'!$D$6:$D$2819,$G2525))</f>
        <v/>
      </c>
      <c r="B2525" s="5" t="str">
        <f>IF($G2525="","",INDEX('EDS Lookup'!$B$6:$B$2819,$G2525))</f>
        <v/>
      </c>
      <c r="C2525" s="17"/>
      <c r="D2525" s="6"/>
      <c r="E2525" s="7" t="str">
        <f>IF($G2525="","",INDEX('EDS Lookup'!$F$6:$F$2819,$G2525))</f>
        <v/>
      </c>
      <c r="F2525" s="8" t="str">
        <f>IF($G2525="","",INDEX('EDS Lookup'!$G$6:$G$2819,$G2525))</f>
        <v/>
      </c>
      <c r="G2525" t="str">
        <f>IF(2502&lt;=$B$4,IFERROR(MATCH(2502,'EDS Lookup'!$H$6:$H$2819,0),""),"")</f>
        <v/>
      </c>
      <c r="H2525" t="str">
        <f t="shared" si="39"/>
        <v/>
      </c>
    </row>
    <row r="2526" spans="1:8" ht="19.95" customHeight="1">
      <c r="A2526" s="5" t="str">
        <f>IF($G2526="","",INDEX('EDS Lookup'!$D$6:$D$2819,$G2526))</f>
        <v/>
      </c>
      <c r="B2526" s="5" t="str">
        <f>IF($G2526="","",INDEX('EDS Lookup'!$B$6:$B$2819,$G2526))</f>
        <v/>
      </c>
      <c r="C2526" s="17"/>
      <c r="D2526" s="6"/>
      <c r="E2526" s="7" t="str">
        <f>IF($G2526="","",INDEX('EDS Lookup'!$F$6:$F$2819,$G2526))</f>
        <v/>
      </c>
      <c r="F2526" s="8" t="str">
        <f>IF($G2526="","",INDEX('EDS Lookup'!$G$6:$G$2819,$G2526))</f>
        <v/>
      </c>
      <c r="G2526" t="str">
        <f>IF(2503&lt;=$B$4,IFERROR(MATCH(2503,'EDS Lookup'!$H$6:$H$2819,0),""),"")</f>
        <v/>
      </c>
      <c r="H2526" t="str">
        <f t="shared" si="39"/>
        <v/>
      </c>
    </row>
    <row r="2527" spans="1:8" ht="19.95" customHeight="1">
      <c r="A2527" s="5" t="str">
        <f>IF($G2527="","",INDEX('EDS Lookup'!$D$6:$D$2819,$G2527))</f>
        <v/>
      </c>
      <c r="B2527" s="5" t="str">
        <f>IF($G2527="","",INDEX('EDS Lookup'!$B$6:$B$2819,$G2527))</f>
        <v/>
      </c>
      <c r="C2527" s="17"/>
      <c r="D2527" s="6"/>
      <c r="E2527" s="7" t="str">
        <f>IF($G2527="","",INDEX('EDS Lookup'!$F$6:$F$2819,$G2527))</f>
        <v/>
      </c>
      <c r="F2527" s="8" t="str">
        <f>IF($G2527="","",INDEX('EDS Lookup'!$G$6:$G$2819,$G2527))</f>
        <v/>
      </c>
      <c r="G2527" t="str">
        <f>IF(2504&lt;=$B$4,IFERROR(MATCH(2504,'EDS Lookup'!$H$6:$H$2819,0),""),"")</f>
        <v/>
      </c>
      <c r="H2527" t="str">
        <f t="shared" si="39"/>
        <v/>
      </c>
    </row>
    <row r="2528" spans="1:8" ht="19.95" customHeight="1">
      <c r="A2528" s="5" t="str">
        <f>IF($G2528="","",INDEX('EDS Lookup'!$D$6:$D$2819,$G2528))</f>
        <v/>
      </c>
      <c r="B2528" s="5" t="str">
        <f>IF($G2528="","",INDEX('EDS Lookup'!$B$6:$B$2819,$G2528))</f>
        <v/>
      </c>
      <c r="C2528" s="17"/>
      <c r="D2528" s="6"/>
      <c r="E2528" s="7" t="str">
        <f>IF($G2528="","",INDEX('EDS Lookup'!$F$6:$F$2819,$G2528))</f>
        <v/>
      </c>
      <c r="F2528" s="8" t="str">
        <f>IF($G2528="","",INDEX('EDS Lookup'!$G$6:$G$2819,$G2528))</f>
        <v/>
      </c>
      <c r="G2528" t="str">
        <f>IF(2505&lt;=$B$4,IFERROR(MATCH(2505,'EDS Lookup'!$H$6:$H$2819,0),""),"")</f>
        <v/>
      </c>
      <c r="H2528" t="str">
        <f t="shared" si="39"/>
        <v/>
      </c>
    </row>
    <row r="2529" spans="1:8" ht="19.95" customHeight="1">
      <c r="A2529" s="5" t="str">
        <f>IF($G2529="","",INDEX('EDS Lookup'!$D$6:$D$2819,$G2529))</f>
        <v/>
      </c>
      <c r="B2529" s="5" t="str">
        <f>IF($G2529="","",INDEX('EDS Lookup'!$B$6:$B$2819,$G2529))</f>
        <v/>
      </c>
      <c r="C2529" s="17"/>
      <c r="D2529" s="6"/>
      <c r="E2529" s="7" t="str">
        <f>IF($G2529="","",INDEX('EDS Lookup'!$F$6:$F$2819,$G2529))</f>
        <v/>
      </c>
      <c r="F2529" s="8" t="str">
        <f>IF($G2529="","",INDEX('EDS Lookup'!$G$6:$G$2819,$G2529))</f>
        <v/>
      </c>
      <c r="G2529" t="str">
        <f>IF(2506&lt;=$B$4,IFERROR(MATCH(2506,'EDS Lookup'!$H$6:$H$2819,0),""),"")</f>
        <v/>
      </c>
      <c r="H2529" t="str">
        <f t="shared" si="39"/>
        <v/>
      </c>
    </row>
    <row r="2530" spans="1:8" ht="19.95" customHeight="1">
      <c r="A2530" s="5" t="str">
        <f>IF($G2530="","",INDEX('EDS Lookup'!$D$6:$D$2819,$G2530))</f>
        <v/>
      </c>
      <c r="B2530" s="5" t="str">
        <f>IF($G2530="","",INDEX('EDS Lookup'!$B$6:$B$2819,$G2530))</f>
        <v/>
      </c>
      <c r="C2530" s="17"/>
      <c r="D2530" s="6"/>
      <c r="E2530" s="7" t="str">
        <f>IF($G2530="","",INDEX('EDS Lookup'!$F$6:$F$2819,$G2530))</f>
        <v/>
      </c>
      <c r="F2530" s="8" t="str">
        <f>IF($G2530="","",INDEX('EDS Lookup'!$G$6:$G$2819,$G2530))</f>
        <v/>
      </c>
      <c r="G2530" t="str">
        <f>IF(2507&lt;=$B$4,IFERROR(MATCH(2507,'EDS Lookup'!$H$6:$H$2819,0),""),"")</f>
        <v/>
      </c>
      <c r="H2530" t="str">
        <f t="shared" si="39"/>
        <v/>
      </c>
    </row>
    <row r="2531" spans="1:8" ht="19.95" customHeight="1">
      <c r="A2531" s="5" t="str">
        <f>IF($G2531="","",INDEX('EDS Lookup'!$D$6:$D$2819,$G2531))</f>
        <v/>
      </c>
      <c r="B2531" s="5" t="str">
        <f>IF($G2531="","",INDEX('EDS Lookup'!$B$6:$B$2819,$G2531))</f>
        <v/>
      </c>
      <c r="C2531" s="17"/>
      <c r="D2531" s="6"/>
      <c r="E2531" s="7" t="str">
        <f>IF($G2531="","",INDEX('EDS Lookup'!$F$6:$F$2819,$G2531))</f>
        <v/>
      </c>
      <c r="F2531" s="8" t="str">
        <f>IF($G2531="","",INDEX('EDS Lookup'!$G$6:$G$2819,$G2531))</f>
        <v/>
      </c>
      <c r="G2531" t="str">
        <f>IF(2508&lt;=$B$4,IFERROR(MATCH(2508,'EDS Lookup'!$H$6:$H$2819,0),""),"")</f>
        <v/>
      </c>
      <c r="H2531" t="str">
        <f t="shared" si="39"/>
        <v/>
      </c>
    </row>
    <row r="2532" spans="1:8" ht="19.95" customHeight="1">
      <c r="A2532" s="5" t="str">
        <f>IF($G2532="","",INDEX('EDS Lookup'!$D$6:$D$2819,$G2532))</f>
        <v/>
      </c>
      <c r="B2532" s="5" t="str">
        <f>IF($G2532="","",INDEX('EDS Lookup'!$B$6:$B$2819,$G2532))</f>
        <v/>
      </c>
      <c r="C2532" s="17"/>
      <c r="D2532" s="6"/>
      <c r="E2532" s="7" t="str">
        <f>IF($G2532="","",INDEX('EDS Lookup'!$F$6:$F$2819,$G2532))</f>
        <v/>
      </c>
      <c r="F2532" s="8" t="str">
        <f>IF($G2532="","",INDEX('EDS Lookup'!$G$6:$G$2819,$G2532))</f>
        <v/>
      </c>
      <c r="G2532" t="str">
        <f>IF(2509&lt;=$B$4,IFERROR(MATCH(2509,'EDS Lookup'!$H$6:$H$2819,0),""),"")</f>
        <v/>
      </c>
      <c r="H2532" t="str">
        <f t="shared" si="39"/>
        <v/>
      </c>
    </row>
    <row r="2533" spans="1:8" ht="19.95" customHeight="1">
      <c r="A2533" s="5" t="str">
        <f>IF($G2533="","",INDEX('EDS Lookup'!$D$6:$D$2819,$G2533))</f>
        <v/>
      </c>
      <c r="B2533" s="5" t="str">
        <f>IF($G2533="","",INDEX('EDS Lookup'!$B$6:$B$2819,$G2533))</f>
        <v/>
      </c>
      <c r="C2533" s="17"/>
      <c r="D2533" s="6"/>
      <c r="E2533" s="7" t="str">
        <f>IF($G2533="","",INDEX('EDS Lookup'!$F$6:$F$2819,$G2533))</f>
        <v/>
      </c>
      <c r="F2533" s="8" t="str">
        <f>IF($G2533="","",INDEX('EDS Lookup'!$G$6:$G$2819,$G2533))</f>
        <v/>
      </c>
      <c r="G2533" t="str">
        <f>IF(2510&lt;=$B$4,IFERROR(MATCH(2510,'EDS Lookup'!$H$6:$H$2819,0),""),"")</f>
        <v/>
      </c>
      <c r="H2533" t="str">
        <f t="shared" si="39"/>
        <v/>
      </c>
    </row>
    <row r="2534" spans="1:8" ht="19.95" customHeight="1">
      <c r="A2534" s="5" t="str">
        <f>IF($G2534="","",INDEX('EDS Lookup'!$D$6:$D$2819,$G2534))</f>
        <v/>
      </c>
      <c r="B2534" s="5" t="str">
        <f>IF($G2534="","",INDEX('EDS Lookup'!$B$6:$B$2819,$G2534))</f>
        <v/>
      </c>
      <c r="C2534" s="17"/>
      <c r="D2534" s="6"/>
      <c r="E2534" s="7" t="str">
        <f>IF($G2534="","",INDEX('EDS Lookup'!$F$6:$F$2819,$G2534))</f>
        <v/>
      </c>
      <c r="F2534" s="8" t="str">
        <f>IF($G2534="","",INDEX('EDS Lookup'!$G$6:$G$2819,$G2534))</f>
        <v/>
      </c>
      <c r="G2534" t="str">
        <f>IF(2511&lt;=$B$4,IFERROR(MATCH(2511,'EDS Lookup'!$H$6:$H$2819,0),""),"")</f>
        <v/>
      </c>
      <c r="H2534" t="str">
        <f t="shared" si="39"/>
        <v/>
      </c>
    </row>
    <row r="2535" spans="1:8" ht="19.95" customHeight="1">
      <c r="A2535" s="5" t="str">
        <f>IF($G2535="","",INDEX('EDS Lookup'!$D$6:$D$2819,$G2535))</f>
        <v/>
      </c>
      <c r="B2535" s="5" t="str">
        <f>IF($G2535="","",INDEX('EDS Lookup'!$B$6:$B$2819,$G2535))</f>
        <v/>
      </c>
      <c r="C2535" s="17"/>
      <c r="D2535" s="6"/>
      <c r="E2535" s="7" t="str">
        <f>IF($G2535="","",INDEX('EDS Lookup'!$F$6:$F$2819,$G2535))</f>
        <v/>
      </c>
      <c r="F2535" s="8" t="str">
        <f>IF($G2535="","",INDEX('EDS Lookup'!$G$6:$G$2819,$G2535))</f>
        <v/>
      </c>
      <c r="G2535" t="str">
        <f>IF(2512&lt;=$B$4,IFERROR(MATCH(2512,'EDS Lookup'!$H$6:$H$2819,0),""),"")</f>
        <v/>
      </c>
      <c r="H2535" t="str">
        <f t="shared" si="39"/>
        <v/>
      </c>
    </row>
    <row r="2536" spans="1:8" ht="19.95" customHeight="1">
      <c r="A2536" s="5" t="str">
        <f>IF($G2536="","",INDEX('EDS Lookup'!$D$6:$D$2819,$G2536))</f>
        <v/>
      </c>
      <c r="B2536" s="5" t="str">
        <f>IF($G2536="","",INDEX('EDS Lookup'!$B$6:$B$2819,$G2536))</f>
        <v/>
      </c>
      <c r="C2536" s="17"/>
      <c r="D2536" s="6"/>
      <c r="E2536" s="7" t="str">
        <f>IF($G2536="","",INDEX('EDS Lookup'!$F$6:$F$2819,$G2536))</f>
        <v/>
      </c>
      <c r="F2536" s="8" t="str">
        <f>IF($G2536="","",INDEX('EDS Lookup'!$G$6:$G$2819,$G2536))</f>
        <v/>
      </c>
      <c r="G2536" t="str">
        <f>IF(2513&lt;=$B$4,IFERROR(MATCH(2513,'EDS Lookup'!$H$6:$H$2819,0),""),"")</f>
        <v/>
      </c>
      <c r="H2536" t="str">
        <f t="shared" si="39"/>
        <v/>
      </c>
    </row>
    <row r="2537" spans="1:8" ht="19.95" customHeight="1">
      <c r="A2537" s="5" t="str">
        <f>IF($G2537="","",INDEX('EDS Lookup'!$D$6:$D$2819,$G2537))</f>
        <v/>
      </c>
      <c r="B2537" s="5" t="str">
        <f>IF($G2537="","",INDEX('EDS Lookup'!$B$6:$B$2819,$G2537))</f>
        <v/>
      </c>
      <c r="C2537" s="17"/>
      <c r="D2537" s="6"/>
      <c r="E2537" s="7" t="str">
        <f>IF($G2537="","",INDEX('EDS Lookup'!$F$6:$F$2819,$G2537))</f>
        <v/>
      </c>
      <c r="F2537" s="8" t="str">
        <f>IF($G2537="","",INDEX('EDS Lookup'!$G$6:$G$2819,$G2537))</f>
        <v/>
      </c>
      <c r="G2537" t="str">
        <f>IF(2514&lt;=$B$4,IFERROR(MATCH(2514,'EDS Lookup'!$H$6:$H$2819,0),""),"")</f>
        <v/>
      </c>
      <c r="H2537" t="str">
        <f t="shared" si="39"/>
        <v/>
      </c>
    </row>
    <row r="2538" spans="1:8" ht="19.95" customHeight="1">
      <c r="A2538" s="5" t="str">
        <f>IF($G2538="","",INDEX('EDS Lookup'!$D$6:$D$2819,$G2538))</f>
        <v/>
      </c>
      <c r="B2538" s="5" t="str">
        <f>IF($G2538="","",INDEX('EDS Lookup'!$B$6:$B$2819,$G2538))</f>
        <v/>
      </c>
      <c r="C2538" s="17"/>
      <c r="D2538" s="6"/>
      <c r="E2538" s="7" t="str">
        <f>IF($G2538="","",INDEX('EDS Lookup'!$F$6:$F$2819,$G2538))</f>
        <v/>
      </c>
      <c r="F2538" s="8" t="str">
        <f>IF($G2538="","",INDEX('EDS Lookup'!$G$6:$G$2819,$G2538))</f>
        <v/>
      </c>
      <c r="G2538" t="str">
        <f>IF(2515&lt;=$B$4,IFERROR(MATCH(2515,'EDS Lookup'!$H$6:$H$2819,0),""),"")</f>
        <v/>
      </c>
      <c r="H2538" t="str">
        <f t="shared" si="39"/>
        <v/>
      </c>
    </row>
    <row r="2539" spans="1:8" ht="19.95" customHeight="1">
      <c r="A2539" s="5" t="str">
        <f>IF($G2539="","",INDEX('EDS Lookup'!$D$6:$D$2819,$G2539))</f>
        <v/>
      </c>
      <c r="B2539" s="5" t="str">
        <f>IF($G2539="","",INDEX('EDS Lookup'!$B$6:$B$2819,$G2539))</f>
        <v/>
      </c>
      <c r="C2539" s="17"/>
      <c r="D2539" s="6"/>
      <c r="E2539" s="7" t="str">
        <f>IF($G2539="","",INDEX('EDS Lookup'!$F$6:$F$2819,$G2539))</f>
        <v/>
      </c>
      <c r="F2539" s="8" t="str">
        <f>IF($G2539="","",INDEX('EDS Lookup'!$G$6:$G$2819,$G2539))</f>
        <v/>
      </c>
      <c r="G2539" t="str">
        <f>IF(2516&lt;=$B$4,IFERROR(MATCH(2516,'EDS Lookup'!$H$6:$H$2819,0),""),"")</f>
        <v/>
      </c>
      <c r="H2539" t="str">
        <f t="shared" si="39"/>
        <v/>
      </c>
    </row>
    <row r="2540" spans="1:8" ht="19.95" customHeight="1">
      <c r="A2540" s="5" t="str">
        <f>IF($G2540="","",INDEX('EDS Lookup'!$D$6:$D$2819,$G2540))</f>
        <v/>
      </c>
      <c r="B2540" s="5" t="str">
        <f>IF($G2540="","",INDEX('EDS Lookup'!$B$6:$B$2819,$G2540))</f>
        <v/>
      </c>
      <c r="C2540" s="17"/>
      <c r="D2540" s="6"/>
      <c r="E2540" s="7" t="str">
        <f>IF($G2540="","",INDEX('EDS Lookup'!$F$6:$F$2819,$G2540))</f>
        <v/>
      </c>
      <c r="F2540" s="8" t="str">
        <f>IF($G2540="","",INDEX('EDS Lookup'!$G$6:$G$2819,$G2540))</f>
        <v/>
      </c>
      <c r="G2540" t="str">
        <f>IF(2517&lt;=$B$4,IFERROR(MATCH(2517,'EDS Lookup'!$H$6:$H$2819,0),""),"")</f>
        <v/>
      </c>
      <c r="H2540" t="str">
        <f t="shared" si="39"/>
        <v/>
      </c>
    </row>
    <row r="2541" spans="1:8" ht="19.95" customHeight="1">
      <c r="A2541" s="5" t="str">
        <f>IF($G2541="","",INDEX('EDS Lookup'!$D$6:$D$2819,$G2541))</f>
        <v/>
      </c>
      <c r="B2541" s="5" t="str">
        <f>IF($G2541="","",INDEX('EDS Lookup'!$B$6:$B$2819,$G2541))</f>
        <v/>
      </c>
      <c r="C2541" s="17"/>
      <c r="D2541" s="6"/>
      <c r="E2541" s="7" t="str">
        <f>IF($G2541="","",INDEX('EDS Lookup'!$F$6:$F$2819,$G2541))</f>
        <v/>
      </c>
      <c r="F2541" s="8" t="str">
        <f>IF($G2541="","",INDEX('EDS Lookup'!$G$6:$G$2819,$G2541))</f>
        <v/>
      </c>
      <c r="G2541" t="str">
        <f>IF(2518&lt;=$B$4,IFERROR(MATCH(2518,'EDS Lookup'!$H$6:$H$2819,0),""),"")</f>
        <v/>
      </c>
      <c r="H2541" t="str">
        <f t="shared" si="39"/>
        <v/>
      </c>
    </row>
    <row r="2542" spans="1:8" ht="19.95" customHeight="1">
      <c r="A2542" s="5" t="str">
        <f>IF($G2542="","",INDEX('EDS Lookup'!$D$6:$D$2819,$G2542))</f>
        <v/>
      </c>
      <c r="B2542" s="5" t="str">
        <f>IF($G2542="","",INDEX('EDS Lookup'!$B$6:$B$2819,$G2542))</f>
        <v/>
      </c>
      <c r="C2542" s="17"/>
      <c r="D2542" s="6"/>
      <c r="E2542" s="7" t="str">
        <f>IF($G2542="","",INDEX('EDS Lookup'!$F$6:$F$2819,$G2542))</f>
        <v/>
      </c>
      <c r="F2542" s="8" t="str">
        <f>IF($G2542="","",INDEX('EDS Lookup'!$G$6:$G$2819,$G2542))</f>
        <v/>
      </c>
      <c r="G2542" t="str">
        <f>IF(2519&lt;=$B$4,IFERROR(MATCH(2519,'EDS Lookup'!$H$6:$H$2819,0),""),"")</f>
        <v/>
      </c>
      <c r="H2542" t="str">
        <f t="shared" si="39"/>
        <v/>
      </c>
    </row>
    <row r="2543" spans="1:8" ht="19.95" customHeight="1">
      <c r="A2543" s="5" t="str">
        <f>IF($G2543="","",INDEX('EDS Lookup'!$D$6:$D$2819,$G2543))</f>
        <v/>
      </c>
      <c r="B2543" s="5" t="str">
        <f>IF($G2543="","",INDEX('EDS Lookup'!$B$6:$B$2819,$G2543))</f>
        <v/>
      </c>
      <c r="C2543" s="17"/>
      <c r="D2543" s="6"/>
      <c r="E2543" s="7" t="str">
        <f>IF($G2543="","",INDEX('EDS Lookup'!$F$6:$F$2819,$G2543))</f>
        <v/>
      </c>
      <c r="F2543" s="8" t="str">
        <f>IF($G2543="","",INDEX('EDS Lookup'!$G$6:$G$2819,$G2543))</f>
        <v/>
      </c>
      <c r="G2543" t="str">
        <f>IF(2520&lt;=$B$4,IFERROR(MATCH(2520,'EDS Lookup'!$H$6:$H$2819,0),""),"")</f>
        <v/>
      </c>
      <c r="H2543" t="str">
        <f t="shared" si="39"/>
        <v/>
      </c>
    </row>
    <row r="2544" spans="1:8" ht="19.95" customHeight="1">
      <c r="A2544" s="5" t="str">
        <f>IF($G2544="","",INDEX('EDS Lookup'!$D$6:$D$2819,$G2544))</f>
        <v/>
      </c>
      <c r="B2544" s="5" t="str">
        <f>IF($G2544="","",INDEX('EDS Lookup'!$B$6:$B$2819,$G2544))</f>
        <v/>
      </c>
      <c r="C2544" s="17"/>
      <c r="D2544" s="6"/>
      <c r="E2544" s="7" t="str">
        <f>IF($G2544="","",INDEX('EDS Lookup'!$F$6:$F$2819,$G2544))</f>
        <v/>
      </c>
      <c r="F2544" s="8" t="str">
        <f>IF($G2544="","",INDEX('EDS Lookup'!$G$6:$G$2819,$G2544))</f>
        <v/>
      </c>
      <c r="G2544" t="str">
        <f>IF(2521&lt;=$B$4,IFERROR(MATCH(2521,'EDS Lookup'!$H$6:$H$2819,0),""),"")</f>
        <v/>
      </c>
      <c r="H2544" t="str">
        <f t="shared" si="39"/>
        <v/>
      </c>
    </row>
    <row r="2545" spans="1:8" ht="19.95" customHeight="1">
      <c r="A2545" s="5" t="str">
        <f>IF($G2545="","",INDEX('EDS Lookup'!$D$6:$D$2819,$G2545))</f>
        <v/>
      </c>
      <c r="B2545" s="5" t="str">
        <f>IF($G2545="","",INDEX('EDS Lookup'!$B$6:$B$2819,$G2545))</f>
        <v/>
      </c>
      <c r="C2545" s="17"/>
      <c r="D2545" s="6"/>
      <c r="E2545" s="7" t="str">
        <f>IF($G2545="","",INDEX('EDS Lookup'!$F$6:$F$2819,$G2545))</f>
        <v/>
      </c>
      <c r="F2545" s="8" t="str">
        <f>IF($G2545="","",INDEX('EDS Lookup'!$G$6:$G$2819,$G2545))</f>
        <v/>
      </c>
      <c r="G2545" t="str">
        <f>IF(2522&lt;=$B$4,IFERROR(MATCH(2522,'EDS Lookup'!$H$6:$H$2819,0),""),"")</f>
        <v/>
      </c>
      <c r="H2545" t="str">
        <f t="shared" si="39"/>
        <v/>
      </c>
    </row>
    <row r="2546" spans="1:8" ht="19.95" customHeight="1">
      <c r="A2546" s="5" t="str">
        <f>IF($G2546="","",INDEX('EDS Lookup'!$D$6:$D$2819,$G2546))</f>
        <v/>
      </c>
      <c r="B2546" s="5" t="str">
        <f>IF($G2546="","",INDEX('EDS Lookup'!$B$6:$B$2819,$G2546))</f>
        <v/>
      </c>
      <c r="C2546" s="17"/>
      <c r="D2546" s="6"/>
      <c r="E2546" s="7" t="str">
        <f>IF($G2546="","",INDEX('EDS Lookup'!$F$6:$F$2819,$G2546))</f>
        <v/>
      </c>
      <c r="F2546" s="8" t="str">
        <f>IF($G2546="","",INDEX('EDS Lookup'!$G$6:$G$2819,$G2546))</f>
        <v/>
      </c>
      <c r="G2546" t="str">
        <f>IF(2523&lt;=$B$4,IFERROR(MATCH(2523,'EDS Lookup'!$H$6:$H$2819,0),""),"")</f>
        <v/>
      </c>
      <c r="H2546" t="str">
        <f t="shared" si="39"/>
        <v/>
      </c>
    </row>
    <row r="2547" spans="1:8" ht="19.95" customHeight="1">
      <c r="A2547" s="5" t="str">
        <f>IF($G2547="","",INDEX('EDS Lookup'!$D$6:$D$2819,$G2547))</f>
        <v/>
      </c>
      <c r="B2547" s="5" t="str">
        <f>IF($G2547="","",INDEX('EDS Lookup'!$B$6:$B$2819,$G2547))</f>
        <v/>
      </c>
      <c r="C2547" s="17"/>
      <c r="D2547" s="6"/>
      <c r="E2547" s="7" t="str">
        <f>IF($G2547="","",INDEX('EDS Lookup'!$F$6:$F$2819,$G2547))</f>
        <v/>
      </c>
      <c r="F2547" s="8" t="str">
        <f>IF($G2547="","",INDEX('EDS Lookup'!$G$6:$G$2819,$G2547))</f>
        <v/>
      </c>
      <c r="G2547" t="str">
        <f>IF(2524&lt;=$B$4,IFERROR(MATCH(2524,'EDS Lookup'!$H$6:$H$2819,0),""),"")</f>
        <v/>
      </c>
      <c r="H2547" t="str">
        <f t="shared" si="39"/>
        <v/>
      </c>
    </row>
    <row r="2548" spans="1:8" ht="19.95" customHeight="1">
      <c r="A2548" s="5" t="str">
        <f>IF($G2548="","",INDEX('EDS Lookup'!$D$6:$D$2819,$G2548))</f>
        <v/>
      </c>
      <c r="B2548" s="5" t="str">
        <f>IF($G2548="","",INDEX('EDS Lookup'!$B$6:$B$2819,$G2548))</f>
        <v/>
      </c>
      <c r="C2548" s="17"/>
      <c r="D2548" s="6"/>
      <c r="E2548" s="7" t="str">
        <f>IF($G2548="","",INDEX('EDS Lookup'!$F$6:$F$2819,$G2548))</f>
        <v/>
      </c>
      <c r="F2548" s="8" t="str">
        <f>IF($G2548="","",INDEX('EDS Lookup'!$G$6:$G$2819,$G2548))</f>
        <v/>
      </c>
      <c r="G2548" t="str">
        <f>IF(2525&lt;=$B$4,IFERROR(MATCH(2525,'EDS Lookup'!$H$6:$H$2819,0),""),"")</f>
        <v/>
      </c>
      <c r="H2548" t="str">
        <f t="shared" si="39"/>
        <v/>
      </c>
    </row>
    <row r="2549" spans="1:8" ht="19.95" customHeight="1">
      <c r="A2549" s="5" t="str">
        <f>IF($G2549="","",INDEX('EDS Lookup'!$D$6:$D$2819,$G2549))</f>
        <v/>
      </c>
      <c r="B2549" s="5" t="str">
        <f>IF($G2549="","",INDEX('EDS Lookup'!$B$6:$B$2819,$G2549))</f>
        <v/>
      </c>
      <c r="C2549" s="17"/>
      <c r="D2549" s="6"/>
      <c r="E2549" s="7" t="str">
        <f>IF($G2549="","",INDEX('EDS Lookup'!$F$6:$F$2819,$G2549))</f>
        <v/>
      </c>
      <c r="F2549" s="8" t="str">
        <f>IF($G2549="","",INDEX('EDS Lookup'!$G$6:$G$2819,$G2549))</f>
        <v/>
      </c>
      <c r="G2549" t="str">
        <f>IF(2526&lt;=$B$4,IFERROR(MATCH(2526,'EDS Lookup'!$H$6:$H$2819,0),""),"")</f>
        <v/>
      </c>
      <c r="H2549" t="str">
        <f t="shared" si="39"/>
        <v/>
      </c>
    </row>
    <row r="2550" spans="1:8" ht="19.95" customHeight="1">
      <c r="A2550" s="5" t="str">
        <f>IF($G2550="","",INDEX('EDS Lookup'!$D$6:$D$2819,$G2550))</f>
        <v/>
      </c>
      <c r="B2550" s="5" t="str">
        <f>IF($G2550="","",INDEX('EDS Lookup'!$B$6:$B$2819,$G2550))</f>
        <v/>
      </c>
      <c r="C2550" s="17"/>
      <c r="D2550" s="6"/>
      <c r="E2550" s="7" t="str">
        <f>IF($G2550="","",INDEX('EDS Lookup'!$F$6:$F$2819,$G2550))</f>
        <v/>
      </c>
      <c r="F2550" s="8" t="str">
        <f>IF($G2550="","",INDEX('EDS Lookup'!$G$6:$G$2819,$G2550))</f>
        <v/>
      </c>
      <c r="G2550" t="str">
        <f>IF(2527&lt;=$B$4,IFERROR(MATCH(2527,'EDS Lookup'!$H$6:$H$2819,0),""),"")</f>
        <v/>
      </c>
      <c r="H2550" t="str">
        <f t="shared" si="39"/>
        <v/>
      </c>
    </row>
    <row r="2551" spans="1:8" ht="19.95" customHeight="1">
      <c r="A2551" s="5" t="str">
        <f>IF($G2551="","",INDEX('EDS Lookup'!$D$6:$D$2819,$G2551))</f>
        <v/>
      </c>
      <c r="B2551" s="5" t="str">
        <f>IF($G2551="","",INDEX('EDS Lookup'!$B$6:$B$2819,$G2551))</f>
        <v/>
      </c>
      <c r="C2551" s="17"/>
      <c r="D2551" s="6"/>
      <c r="E2551" s="7" t="str">
        <f>IF($G2551="","",INDEX('EDS Lookup'!$F$6:$F$2819,$G2551))</f>
        <v/>
      </c>
      <c r="F2551" s="8" t="str">
        <f>IF($G2551="","",INDEX('EDS Lookup'!$G$6:$G$2819,$G2551))</f>
        <v/>
      </c>
      <c r="G2551" t="str">
        <f>IF(2528&lt;=$B$4,IFERROR(MATCH(2528,'EDS Lookup'!$H$6:$H$2819,0),""),"")</f>
        <v/>
      </c>
      <c r="H2551" t="str">
        <f t="shared" si="39"/>
        <v/>
      </c>
    </row>
    <row r="2552" spans="1:8" ht="19.95" customHeight="1">
      <c r="A2552" s="5" t="str">
        <f>IF($G2552="","",INDEX('EDS Lookup'!$D$6:$D$2819,$G2552))</f>
        <v/>
      </c>
      <c r="B2552" s="5" t="str">
        <f>IF($G2552="","",INDEX('EDS Lookup'!$B$6:$B$2819,$G2552))</f>
        <v/>
      </c>
      <c r="C2552" s="17"/>
      <c r="D2552" s="6"/>
      <c r="E2552" s="7" t="str">
        <f>IF($G2552="","",INDEX('EDS Lookup'!$F$6:$F$2819,$G2552))</f>
        <v/>
      </c>
      <c r="F2552" s="8" t="str">
        <f>IF($G2552="","",INDEX('EDS Lookup'!$G$6:$G$2819,$G2552))</f>
        <v/>
      </c>
      <c r="G2552" t="str">
        <f>IF(2529&lt;=$B$4,IFERROR(MATCH(2529,'EDS Lookup'!$H$6:$H$2819,0),""),"")</f>
        <v/>
      </c>
      <c r="H2552" t="str">
        <f t="shared" si="39"/>
        <v/>
      </c>
    </row>
    <row r="2553" spans="1:8" ht="19.95" customHeight="1">
      <c r="A2553" s="5" t="str">
        <f>IF($G2553="","",INDEX('EDS Lookup'!$D$6:$D$2819,$G2553))</f>
        <v/>
      </c>
      <c r="B2553" s="5" t="str">
        <f>IF($G2553="","",INDEX('EDS Lookup'!$B$6:$B$2819,$G2553))</f>
        <v/>
      </c>
      <c r="C2553" s="17"/>
      <c r="D2553" s="6"/>
      <c r="E2553" s="7" t="str">
        <f>IF($G2553="","",INDEX('EDS Lookup'!$F$6:$F$2819,$G2553))</f>
        <v/>
      </c>
      <c r="F2553" s="8" t="str">
        <f>IF($G2553="","",INDEX('EDS Lookup'!$G$6:$G$2819,$G2553))</f>
        <v/>
      </c>
      <c r="G2553" t="str">
        <f>IF(2530&lt;=$B$4,IFERROR(MATCH(2530,'EDS Lookup'!$H$6:$H$2819,0),""),"")</f>
        <v/>
      </c>
      <c r="H2553" t="str">
        <f t="shared" si="39"/>
        <v/>
      </c>
    </row>
    <row r="2554" spans="1:8" ht="19.95" customHeight="1">
      <c r="A2554" s="5" t="str">
        <f>IF($G2554="","",INDEX('EDS Lookup'!$D$6:$D$2819,$G2554))</f>
        <v/>
      </c>
      <c r="B2554" s="5" t="str">
        <f>IF($G2554="","",INDEX('EDS Lookup'!$B$6:$B$2819,$G2554))</f>
        <v/>
      </c>
      <c r="C2554" s="17"/>
      <c r="D2554" s="6"/>
      <c r="E2554" s="7" t="str">
        <f>IF($G2554="","",INDEX('EDS Lookup'!$F$6:$F$2819,$G2554))</f>
        <v/>
      </c>
      <c r="F2554" s="8" t="str">
        <f>IF($G2554="","",INDEX('EDS Lookup'!$G$6:$G$2819,$G2554))</f>
        <v/>
      </c>
      <c r="G2554" t="str">
        <f>IF(2531&lt;=$B$4,IFERROR(MATCH(2531,'EDS Lookup'!$H$6:$H$2819,0),""),"")</f>
        <v/>
      </c>
      <c r="H2554" t="str">
        <f t="shared" si="39"/>
        <v/>
      </c>
    </row>
    <row r="2555" spans="1:8" ht="19.95" customHeight="1">
      <c r="A2555" s="5" t="str">
        <f>IF($G2555="","",INDEX('EDS Lookup'!$D$6:$D$2819,$G2555))</f>
        <v/>
      </c>
      <c r="B2555" s="5" t="str">
        <f>IF($G2555="","",INDEX('EDS Lookup'!$B$6:$B$2819,$G2555))</f>
        <v/>
      </c>
      <c r="C2555" s="17"/>
      <c r="D2555" s="6"/>
      <c r="E2555" s="7" t="str">
        <f>IF($G2555="","",INDEX('EDS Lookup'!$F$6:$F$2819,$G2555))</f>
        <v/>
      </c>
      <c r="F2555" s="8" t="str">
        <f>IF($G2555="","",INDEX('EDS Lookup'!$G$6:$G$2819,$G2555))</f>
        <v/>
      </c>
      <c r="G2555" t="str">
        <f>IF(2532&lt;=$B$4,IFERROR(MATCH(2532,'EDS Lookup'!$H$6:$H$2819,0),""),"")</f>
        <v/>
      </c>
      <c r="H2555" t="str">
        <f t="shared" si="39"/>
        <v/>
      </c>
    </row>
    <row r="2556" spans="1:8" ht="19.95" customHeight="1">
      <c r="A2556" s="5" t="str">
        <f>IF($G2556="","",INDEX('EDS Lookup'!$D$6:$D$2819,$G2556))</f>
        <v/>
      </c>
      <c r="B2556" s="5" t="str">
        <f>IF($G2556="","",INDEX('EDS Lookup'!$B$6:$B$2819,$G2556))</f>
        <v/>
      </c>
      <c r="C2556" s="17"/>
      <c r="D2556" s="6"/>
      <c r="E2556" s="7" t="str">
        <f>IF($G2556="","",INDEX('EDS Lookup'!$F$6:$F$2819,$G2556))</f>
        <v/>
      </c>
      <c r="F2556" s="8" t="str">
        <f>IF($G2556="","",INDEX('EDS Lookup'!$G$6:$G$2819,$G2556))</f>
        <v/>
      </c>
      <c r="G2556" t="str">
        <f>IF(2533&lt;=$B$4,IFERROR(MATCH(2533,'EDS Lookup'!$H$6:$H$2819,0),""),"")</f>
        <v/>
      </c>
      <c r="H2556" t="str">
        <f t="shared" si="39"/>
        <v/>
      </c>
    </row>
    <row r="2557" spans="1:8" ht="19.95" customHeight="1">
      <c r="A2557" s="5" t="str">
        <f>IF($G2557="","",INDEX('EDS Lookup'!$D$6:$D$2819,$G2557))</f>
        <v/>
      </c>
      <c r="B2557" s="5" t="str">
        <f>IF($G2557="","",INDEX('EDS Lookup'!$B$6:$B$2819,$G2557))</f>
        <v/>
      </c>
      <c r="C2557" s="17"/>
      <c r="D2557" s="6"/>
      <c r="E2557" s="7" t="str">
        <f>IF($G2557="","",INDEX('EDS Lookup'!$F$6:$F$2819,$G2557))</f>
        <v/>
      </c>
      <c r="F2557" s="8" t="str">
        <f>IF($G2557="","",INDEX('EDS Lookup'!$G$6:$G$2819,$G2557))</f>
        <v/>
      </c>
      <c r="G2557" t="str">
        <f>IF(2534&lt;=$B$4,IFERROR(MATCH(2534,'EDS Lookup'!$H$6:$H$2819,0),""),"")</f>
        <v/>
      </c>
      <c r="H2557" t="str">
        <f t="shared" si="39"/>
        <v/>
      </c>
    </row>
    <row r="2558" spans="1:8" ht="19.95" customHeight="1">
      <c r="A2558" s="5" t="str">
        <f>IF($G2558="","",INDEX('EDS Lookup'!$D$6:$D$2819,$G2558))</f>
        <v/>
      </c>
      <c r="B2558" s="5" t="str">
        <f>IF($G2558="","",INDEX('EDS Lookup'!$B$6:$B$2819,$G2558))</f>
        <v/>
      </c>
      <c r="C2558" s="17"/>
      <c r="D2558" s="6"/>
      <c r="E2558" s="7" t="str">
        <f>IF($G2558="","",INDEX('EDS Lookup'!$F$6:$F$2819,$G2558))</f>
        <v/>
      </c>
      <c r="F2558" s="8" t="str">
        <f>IF($G2558="","",INDEX('EDS Lookup'!$G$6:$G$2819,$G2558))</f>
        <v/>
      </c>
      <c r="G2558" t="str">
        <f>IF(2535&lt;=$B$4,IFERROR(MATCH(2535,'EDS Lookup'!$H$6:$H$2819,0),""),"")</f>
        <v/>
      </c>
      <c r="H2558" t="str">
        <f t="shared" si="39"/>
        <v/>
      </c>
    </row>
    <row r="2559" spans="1:8" ht="19.95" customHeight="1">
      <c r="A2559" s="5" t="str">
        <f>IF($G2559="","",INDEX('EDS Lookup'!$D$6:$D$2819,$G2559))</f>
        <v/>
      </c>
      <c r="B2559" s="5" t="str">
        <f>IF($G2559="","",INDEX('EDS Lookup'!$B$6:$B$2819,$G2559))</f>
        <v/>
      </c>
      <c r="C2559" s="17"/>
      <c r="D2559" s="6"/>
      <c r="E2559" s="7" t="str">
        <f>IF($G2559="","",INDEX('EDS Lookup'!$F$6:$F$2819,$G2559))</f>
        <v/>
      </c>
      <c r="F2559" s="8" t="str">
        <f>IF($G2559="","",INDEX('EDS Lookup'!$G$6:$G$2819,$G2559))</f>
        <v/>
      </c>
      <c r="G2559" t="str">
        <f>IF(2536&lt;=$B$4,IFERROR(MATCH(2536,'EDS Lookup'!$H$6:$H$2819,0),""),"")</f>
        <v/>
      </c>
      <c r="H2559" t="str">
        <f t="shared" si="39"/>
        <v/>
      </c>
    </row>
    <row r="2560" spans="1:8" ht="19.95" customHeight="1">
      <c r="A2560" s="5" t="str">
        <f>IF($G2560="","",INDEX('EDS Lookup'!$D$6:$D$2819,$G2560))</f>
        <v/>
      </c>
      <c r="B2560" s="5" t="str">
        <f>IF($G2560="","",INDEX('EDS Lookup'!$B$6:$B$2819,$G2560))</f>
        <v/>
      </c>
      <c r="C2560" s="17"/>
      <c r="D2560" s="6"/>
      <c r="E2560" s="7" t="str">
        <f>IF($G2560="","",INDEX('EDS Lookup'!$F$6:$F$2819,$G2560))</f>
        <v/>
      </c>
      <c r="F2560" s="8" t="str">
        <f>IF($G2560="","",INDEX('EDS Lookup'!$G$6:$G$2819,$G2560))</f>
        <v/>
      </c>
      <c r="G2560" t="str">
        <f>IF(2537&lt;=$B$4,IFERROR(MATCH(2537,'EDS Lookup'!$H$6:$H$2819,0),""),"")</f>
        <v/>
      </c>
      <c r="H2560" t="str">
        <f t="shared" si="39"/>
        <v/>
      </c>
    </row>
    <row r="2561" spans="1:8" ht="19.95" customHeight="1">
      <c r="A2561" s="5" t="str">
        <f>IF($G2561="","",INDEX('EDS Lookup'!$D$6:$D$2819,$G2561))</f>
        <v/>
      </c>
      <c r="B2561" s="5" t="str">
        <f>IF($G2561="","",INDEX('EDS Lookup'!$B$6:$B$2819,$G2561))</f>
        <v/>
      </c>
      <c r="C2561" s="17"/>
      <c r="D2561" s="6"/>
      <c r="E2561" s="7" t="str">
        <f>IF($G2561="","",INDEX('EDS Lookup'!$F$6:$F$2819,$G2561))</f>
        <v/>
      </c>
      <c r="F2561" s="8" t="str">
        <f>IF($G2561="","",INDEX('EDS Lookup'!$G$6:$G$2819,$G2561))</f>
        <v/>
      </c>
      <c r="G2561" t="str">
        <f>IF(2538&lt;=$B$4,IFERROR(MATCH(2538,'EDS Lookup'!$H$6:$H$2819,0),""),"")</f>
        <v/>
      </c>
      <c r="H2561" t="str">
        <f t="shared" si="39"/>
        <v/>
      </c>
    </row>
    <row r="2562" spans="1:8" ht="19.95" customHeight="1">
      <c r="A2562" s="5" t="str">
        <f>IF($G2562="","",INDEX('EDS Lookup'!$D$6:$D$2819,$G2562))</f>
        <v/>
      </c>
      <c r="B2562" s="5" t="str">
        <f>IF($G2562="","",INDEX('EDS Lookup'!$B$6:$B$2819,$G2562))</f>
        <v/>
      </c>
      <c r="C2562" s="17"/>
      <c r="D2562" s="6"/>
      <c r="E2562" s="7" t="str">
        <f>IF($G2562="","",INDEX('EDS Lookup'!$F$6:$F$2819,$G2562))</f>
        <v/>
      </c>
      <c r="F2562" s="8" t="str">
        <f>IF($G2562="","",INDEX('EDS Lookup'!$G$6:$G$2819,$G2562))</f>
        <v/>
      </c>
      <c r="G2562" t="str">
        <f>IF(2539&lt;=$B$4,IFERROR(MATCH(2539,'EDS Lookup'!$H$6:$H$2819,0),""),"")</f>
        <v/>
      </c>
      <c r="H2562" t="str">
        <f t="shared" si="39"/>
        <v/>
      </c>
    </row>
    <row r="2563" spans="1:8" ht="19.95" customHeight="1">
      <c r="A2563" s="5" t="str">
        <f>IF($G2563="","",INDEX('EDS Lookup'!$D$6:$D$2819,$G2563))</f>
        <v/>
      </c>
      <c r="B2563" s="5" t="str">
        <f>IF($G2563="","",INDEX('EDS Lookup'!$B$6:$B$2819,$G2563))</f>
        <v/>
      </c>
      <c r="C2563" s="17"/>
      <c r="D2563" s="6"/>
      <c r="E2563" s="7" t="str">
        <f>IF($G2563="","",INDEX('EDS Lookup'!$F$6:$F$2819,$G2563))</f>
        <v/>
      </c>
      <c r="F2563" s="8" t="str">
        <f>IF($G2563="","",INDEX('EDS Lookup'!$G$6:$G$2819,$G2563))</f>
        <v/>
      </c>
      <c r="G2563" t="str">
        <f>IF(2540&lt;=$B$4,IFERROR(MATCH(2540,'EDS Lookup'!$H$6:$H$2819,0),""),"")</f>
        <v/>
      </c>
      <c r="H2563" t="str">
        <f t="shared" si="39"/>
        <v/>
      </c>
    </row>
    <row r="2564" spans="1:8" ht="19.95" customHeight="1">
      <c r="A2564" s="5" t="str">
        <f>IF($G2564="","",INDEX('EDS Lookup'!$D$6:$D$2819,$G2564))</f>
        <v/>
      </c>
      <c r="B2564" s="5" t="str">
        <f>IF($G2564="","",INDEX('EDS Lookup'!$B$6:$B$2819,$G2564))</f>
        <v/>
      </c>
      <c r="C2564" s="17"/>
      <c r="D2564" s="6"/>
      <c r="E2564" s="7" t="str">
        <f>IF($G2564="","",INDEX('EDS Lookup'!$F$6:$F$2819,$G2564))</f>
        <v/>
      </c>
      <c r="F2564" s="8" t="str">
        <f>IF($G2564="","",INDEX('EDS Lookup'!$G$6:$G$2819,$G2564))</f>
        <v/>
      </c>
      <c r="G2564" t="str">
        <f>IF(2541&lt;=$B$4,IFERROR(MATCH(2541,'EDS Lookup'!$H$6:$H$2819,0),""),"")</f>
        <v/>
      </c>
      <c r="H2564" t="str">
        <f t="shared" si="39"/>
        <v/>
      </c>
    </row>
    <row r="2565" spans="1:8" ht="19.95" customHeight="1">
      <c r="A2565" s="5" t="str">
        <f>IF($G2565="","",INDEX('EDS Lookup'!$D$6:$D$2819,$G2565))</f>
        <v/>
      </c>
      <c r="B2565" s="5" t="str">
        <f>IF($G2565="","",INDEX('EDS Lookup'!$B$6:$B$2819,$G2565))</f>
        <v/>
      </c>
      <c r="C2565" s="17"/>
      <c r="D2565" s="6"/>
      <c r="E2565" s="7" t="str">
        <f>IF($G2565="","",INDEX('EDS Lookup'!$F$6:$F$2819,$G2565))</f>
        <v/>
      </c>
      <c r="F2565" s="8" t="str">
        <f>IF($G2565="","",INDEX('EDS Lookup'!$G$6:$G$2819,$G2565))</f>
        <v/>
      </c>
      <c r="G2565" t="str">
        <f>IF(2542&lt;=$B$4,IFERROR(MATCH(2542,'EDS Lookup'!$H$6:$H$2819,0),""),"")</f>
        <v/>
      </c>
      <c r="H2565" t="str">
        <f t="shared" si="39"/>
        <v/>
      </c>
    </row>
    <row r="2566" spans="1:8" ht="19.95" customHeight="1">
      <c r="A2566" s="5" t="str">
        <f>IF($G2566="","",INDEX('EDS Lookup'!$D$6:$D$2819,$G2566))</f>
        <v/>
      </c>
      <c r="B2566" s="5" t="str">
        <f>IF($G2566="","",INDEX('EDS Lookup'!$B$6:$B$2819,$G2566))</f>
        <v/>
      </c>
      <c r="C2566" s="17"/>
      <c r="D2566" s="6"/>
      <c r="E2566" s="7" t="str">
        <f>IF($G2566="","",INDEX('EDS Lookup'!$F$6:$F$2819,$G2566))</f>
        <v/>
      </c>
      <c r="F2566" s="8" t="str">
        <f>IF($G2566="","",INDEX('EDS Lookup'!$G$6:$G$2819,$G2566))</f>
        <v/>
      </c>
      <c r="G2566" t="str">
        <f>IF(2543&lt;=$B$4,IFERROR(MATCH(2543,'EDS Lookup'!$H$6:$H$2819,0),""),"")</f>
        <v/>
      </c>
      <c r="H2566" t="str">
        <f t="shared" si="39"/>
        <v/>
      </c>
    </row>
    <row r="2567" spans="1:8" ht="19.95" customHeight="1">
      <c r="A2567" s="5" t="str">
        <f>IF($G2567="","",INDEX('EDS Lookup'!$D$6:$D$2819,$G2567))</f>
        <v/>
      </c>
      <c r="B2567" s="5" t="str">
        <f>IF($G2567="","",INDEX('EDS Lookup'!$B$6:$B$2819,$G2567))</f>
        <v/>
      </c>
      <c r="C2567" s="17"/>
      <c r="D2567" s="6"/>
      <c r="E2567" s="7" t="str">
        <f>IF($G2567="","",INDEX('EDS Lookup'!$F$6:$F$2819,$G2567))</f>
        <v/>
      </c>
      <c r="F2567" s="8" t="str">
        <f>IF($G2567="","",INDEX('EDS Lookup'!$G$6:$G$2819,$G2567))</f>
        <v/>
      </c>
      <c r="G2567" t="str">
        <f>IF(2544&lt;=$B$4,IFERROR(MATCH(2544,'EDS Lookup'!$H$6:$H$2819,0),""),"")</f>
        <v/>
      </c>
      <c r="H2567" t="str">
        <f t="shared" si="39"/>
        <v/>
      </c>
    </row>
    <row r="2568" spans="1:8" ht="19.95" customHeight="1">
      <c r="A2568" s="5" t="str">
        <f>IF($G2568="","",INDEX('EDS Lookup'!$D$6:$D$2819,$G2568))</f>
        <v/>
      </c>
      <c r="B2568" s="5" t="str">
        <f>IF($G2568="","",INDEX('EDS Lookup'!$B$6:$B$2819,$G2568))</f>
        <v/>
      </c>
      <c r="C2568" s="17"/>
      <c r="D2568" s="6"/>
      <c r="E2568" s="7" t="str">
        <f>IF($G2568="","",INDEX('EDS Lookup'!$F$6:$F$2819,$G2568))</f>
        <v/>
      </c>
      <c r="F2568" s="8" t="str">
        <f>IF($G2568="","",INDEX('EDS Lookup'!$G$6:$G$2819,$G2568))</f>
        <v/>
      </c>
      <c r="G2568" t="str">
        <f>IF(2545&lt;=$B$4,IFERROR(MATCH(2545,'EDS Lookup'!$H$6:$H$2819,0),""),"")</f>
        <v/>
      </c>
      <c r="H2568" t="str">
        <f t="shared" si="39"/>
        <v/>
      </c>
    </row>
    <row r="2569" spans="1:8" ht="19.95" customHeight="1">
      <c r="A2569" s="5" t="str">
        <f>IF($G2569="","",INDEX('EDS Lookup'!$D$6:$D$2819,$G2569))</f>
        <v/>
      </c>
      <c r="B2569" s="5" t="str">
        <f>IF($G2569="","",INDEX('EDS Lookup'!$B$6:$B$2819,$G2569))</f>
        <v/>
      </c>
      <c r="C2569" s="17"/>
      <c r="D2569" s="6"/>
      <c r="E2569" s="7" t="str">
        <f>IF($G2569="","",INDEX('EDS Lookup'!$F$6:$F$2819,$G2569))</f>
        <v/>
      </c>
      <c r="F2569" s="8" t="str">
        <f>IF($G2569="","",INDEX('EDS Lookup'!$G$6:$G$2819,$G2569))</f>
        <v/>
      </c>
      <c r="G2569" t="str">
        <f>IF(2546&lt;=$B$4,IFERROR(MATCH(2546,'EDS Lookup'!$H$6:$H$2819,0),""),"")</f>
        <v/>
      </c>
      <c r="H2569" t="str">
        <f t="shared" si="39"/>
        <v/>
      </c>
    </row>
    <row r="2570" spans="1:8" ht="19.95" customHeight="1">
      <c r="A2570" s="5" t="str">
        <f>IF($G2570="","",INDEX('EDS Lookup'!$D$6:$D$2819,$G2570))</f>
        <v/>
      </c>
      <c r="B2570" s="5" t="str">
        <f>IF($G2570="","",INDEX('EDS Lookup'!$B$6:$B$2819,$G2570))</f>
        <v/>
      </c>
      <c r="C2570" s="17"/>
      <c r="D2570" s="6"/>
      <c r="E2570" s="7" t="str">
        <f>IF($G2570="","",INDEX('EDS Lookup'!$F$6:$F$2819,$G2570))</f>
        <v/>
      </c>
      <c r="F2570" s="8" t="str">
        <f>IF($G2570="","",INDEX('EDS Lookup'!$G$6:$G$2819,$G2570))</f>
        <v/>
      </c>
      <c r="G2570" t="str">
        <f>IF(2547&lt;=$B$4,IFERROR(MATCH(2547,'EDS Lookup'!$H$6:$H$2819,0),""),"")</f>
        <v/>
      </c>
      <c r="H2570" t="str">
        <f t="shared" si="39"/>
        <v/>
      </c>
    </row>
    <row r="2571" spans="1:8" ht="19.95" customHeight="1">
      <c r="A2571" s="5" t="str">
        <f>IF($G2571="","",INDEX('EDS Lookup'!$D$6:$D$2819,$G2571))</f>
        <v/>
      </c>
      <c r="B2571" s="5" t="str">
        <f>IF($G2571="","",INDEX('EDS Lookup'!$B$6:$B$2819,$G2571))</f>
        <v/>
      </c>
      <c r="C2571" s="17"/>
      <c r="D2571" s="6"/>
      <c r="E2571" s="7" t="str">
        <f>IF($G2571="","",INDEX('EDS Lookup'!$F$6:$F$2819,$G2571))</f>
        <v/>
      </c>
      <c r="F2571" s="8" t="str">
        <f>IF($G2571="","",INDEX('EDS Lookup'!$G$6:$G$2819,$G2571))</f>
        <v/>
      </c>
      <c r="G2571" t="str">
        <f>IF(2548&lt;=$B$4,IFERROR(MATCH(2548,'EDS Lookup'!$H$6:$H$2819,0),""),"")</f>
        <v/>
      </c>
      <c r="H2571" t="str">
        <f t="shared" si="39"/>
        <v/>
      </c>
    </row>
    <row r="2572" spans="1:8" ht="19.95" customHeight="1">
      <c r="A2572" s="5" t="str">
        <f>IF($G2572="","",INDEX('EDS Lookup'!$D$6:$D$2819,$G2572))</f>
        <v/>
      </c>
      <c r="B2572" s="5" t="str">
        <f>IF($G2572="","",INDEX('EDS Lookup'!$B$6:$B$2819,$G2572))</f>
        <v/>
      </c>
      <c r="C2572" s="17"/>
      <c r="D2572" s="6"/>
      <c r="E2572" s="7" t="str">
        <f>IF($G2572="","",INDEX('EDS Lookup'!$F$6:$F$2819,$G2572))</f>
        <v/>
      </c>
      <c r="F2572" s="8" t="str">
        <f>IF($G2572="","",INDEX('EDS Lookup'!$G$6:$G$2819,$G2572))</f>
        <v/>
      </c>
      <c r="G2572" t="str">
        <f>IF(2549&lt;=$B$4,IFERROR(MATCH(2549,'EDS Lookup'!$H$6:$H$2819,0),""),"")</f>
        <v/>
      </c>
      <c r="H2572" t="str">
        <f t="shared" si="39"/>
        <v/>
      </c>
    </row>
    <row r="2573" spans="1:8" ht="19.95" customHeight="1">
      <c r="A2573" s="5" t="str">
        <f>IF($G2573="","",INDEX('EDS Lookup'!$D$6:$D$2819,$G2573))</f>
        <v/>
      </c>
      <c r="B2573" s="5" t="str">
        <f>IF($G2573="","",INDEX('EDS Lookup'!$B$6:$B$2819,$G2573))</f>
        <v/>
      </c>
      <c r="C2573" s="17"/>
      <c r="D2573" s="6"/>
      <c r="E2573" s="7" t="str">
        <f>IF($G2573="","",INDEX('EDS Lookup'!$F$6:$F$2819,$G2573))</f>
        <v/>
      </c>
      <c r="F2573" s="8" t="str">
        <f>IF($G2573="","",INDEX('EDS Lookup'!$G$6:$G$2819,$G2573))</f>
        <v/>
      </c>
      <c r="G2573" t="str">
        <f>IF(2550&lt;=$B$4,IFERROR(MATCH(2550,'EDS Lookup'!$H$6:$H$2819,0),""),"")</f>
        <v/>
      </c>
      <c r="H2573" t="str">
        <f t="shared" si="39"/>
        <v/>
      </c>
    </row>
    <row r="2574" spans="1:8" ht="19.95" customHeight="1">
      <c r="A2574" s="5" t="str">
        <f>IF($G2574="","",INDEX('EDS Lookup'!$D$6:$D$2819,$G2574))</f>
        <v/>
      </c>
      <c r="B2574" s="5" t="str">
        <f>IF($G2574="","",INDEX('EDS Lookup'!$B$6:$B$2819,$G2574))</f>
        <v/>
      </c>
      <c r="C2574" s="17"/>
      <c r="D2574" s="6"/>
      <c r="E2574" s="7" t="str">
        <f>IF($G2574="","",INDEX('EDS Lookup'!$F$6:$F$2819,$G2574))</f>
        <v/>
      </c>
      <c r="F2574" s="8" t="str">
        <f>IF($G2574="","",INDEX('EDS Lookup'!$G$6:$G$2819,$G2574))</f>
        <v/>
      </c>
      <c r="G2574" t="str">
        <f>IF(2551&lt;=$B$4,IFERROR(MATCH(2551,'EDS Lookup'!$H$6:$H$2819,0),""),"")</f>
        <v/>
      </c>
      <c r="H2574" t="str">
        <f t="shared" si="39"/>
        <v/>
      </c>
    </row>
    <row r="2575" spans="1:8" ht="19.95" customHeight="1">
      <c r="A2575" s="5" t="str">
        <f>IF($G2575="","",INDEX('EDS Lookup'!$D$6:$D$2819,$G2575))</f>
        <v/>
      </c>
      <c r="B2575" s="5" t="str">
        <f>IF($G2575="","",INDEX('EDS Lookup'!$B$6:$B$2819,$G2575))</f>
        <v/>
      </c>
      <c r="C2575" s="17"/>
      <c r="D2575" s="6"/>
      <c r="E2575" s="7" t="str">
        <f>IF($G2575="","",INDEX('EDS Lookup'!$F$6:$F$2819,$G2575))</f>
        <v/>
      </c>
      <c r="F2575" s="8" t="str">
        <f>IF($G2575="","",INDEX('EDS Lookup'!$G$6:$G$2819,$G2575))</f>
        <v/>
      </c>
      <c r="G2575" t="str">
        <f>IF(2552&lt;=$B$4,IFERROR(MATCH(2552,'EDS Lookup'!$H$6:$H$2819,0),""),"")</f>
        <v/>
      </c>
      <c r="H2575" t="str">
        <f t="shared" si="39"/>
        <v/>
      </c>
    </row>
    <row r="2576" spans="1:8" ht="19.95" customHeight="1">
      <c r="A2576" s="5" t="str">
        <f>IF($G2576="","",INDEX('EDS Lookup'!$D$6:$D$2819,$G2576))</f>
        <v/>
      </c>
      <c r="B2576" s="5" t="str">
        <f>IF($G2576="","",INDEX('EDS Lookup'!$B$6:$B$2819,$G2576))</f>
        <v/>
      </c>
      <c r="C2576" s="17"/>
      <c r="D2576" s="6"/>
      <c r="E2576" s="7" t="str">
        <f>IF($G2576="","",INDEX('EDS Lookup'!$F$6:$F$2819,$G2576))</f>
        <v/>
      </c>
      <c r="F2576" s="8" t="str">
        <f>IF($G2576="","",INDEX('EDS Lookup'!$G$6:$G$2819,$G2576))</f>
        <v/>
      </c>
      <c r="G2576" t="str">
        <f>IF(2553&lt;=$B$4,IFERROR(MATCH(2553,'EDS Lookup'!$H$6:$H$2819,0),""),"")</f>
        <v/>
      </c>
      <c r="H2576" t="str">
        <f t="shared" si="39"/>
        <v/>
      </c>
    </row>
    <row r="2577" spans="1:8" ht="19.95" customHeight="1">
      <c r="A2577" s="5" t="str">
        <f>IF($G2577="","",INDEX('EDS Lookup'!$D$6:$D$2819,$G2577))</f>
        <v/>
      </c>
      <c r="B2577" s="5" t="str">
        <f>IF($G2577="","",INDEX('EDS Lookup'!$B$6:$B$2819,$G2577))</f>
        <v/>
      </c>
      <c r="C2577" s="17"/>
      <c r="D2577" s="6"/>
      <c r="E2577" s="7" t="str">
        <f>IF($G2577="","",INDEX('EDS Lookup'!$F$6:$F$2819,$G2577))</f>
        <v/>
      </c>
      <c r="F2577" s="8" t="str">
        <f>IF($G2577="","",INDEX('EDS Lookup'!$G$6:$G$2819,$G2577))</f>
        <v/>
      </c>
      <c r="G2577" t="str">
        <f>IF(2554&lt;=$B$4,IFERROR(MATCH(2554,'EDS Lookup'!$H$6:$H$2819,0),""),"")</f>
        <v/>
      </c>
      <c r="H2577" t="str">
        <f t="shared" si="39"/>
        <v/>
      </c>
    </row>
    <row r="2578" spans="1:8" ht="19.95" customHeight="1">
      <c r="A2578" s="5" t="str">
        <f>IF($G2578="","",INDEX('EDS Lookup'!$D$6:$D$2819,$G2578))</f>
        <v/>
      </c>
      <c r="B2578" s="5" t="str">
        <f>IF($G2578="","",INDEX('EDS Lookup'!$B$6:$B$2819,$G2578))</f>
        <v/>
      </c>
      <c r="C2578" s="17"/>
      <c r="D2578" s="6"/>
      <c r="E2578" s="7" t="str">
        <f>IF($G2578="","",INDEX('EDS Lookup'!$F$6:$F$2819,$G2578))</f>
        <v/>
      </c>
      <c r="F2578" s="8" t="str">
        <f>IF($G2578="","",INDEX('EDS Lookup'!$G$6:$G$2819,$G2578))</f>
        <v/>
      </c>
      <c r="G2578" t="str">
        <f>IF(2555&lt;=$B$4,IFERROR(MATCH(2555,'EDS Lookup'!$H$6:$H$2819,0),""),"")</f>
        <v/>
      </c>
      <c r="H2578" t="str">
        <f t="shared" si="39"/>
        <v/>
      </c>
    </row>
    <row r="2579" spans="1:8" ht="19.95" customHeight="1">
      <c r="A2579" s="5" t="str">
        <f>IF($G2579="","",INDEX('EDS Lookup'!$D$6:$D$2819,$G2579))</f>
        <v/>
      </c>
      <c r="B2579" s="5" t="str">
        <f>IF($G2579="","",INDEX('EDS Lookup'!$B$6:$B$2819,$G2579))</f>
        <v/>
      </c>
      <c r="C2579" s="17"/>
      <c r="D2579" s="6"/>
      <c r="E2579" s="7" t="str">
        <f>IF($G2579="","",INDEX('EDS Lookup'!$F$6:$F$2819,$G2579))</f>
        <v/>
      </c>
      <c r="F2579" s="8" t="str">
        <f>IF($G2579="","",INDEX('EDS Lookup'!$G$6:$G$2819,$G2579))</f>
        <v/>
      </c>
      <c r="G2579" t="str">
        <f>IF(2556&lt;=$B$4,IFERROR(MATCH(2556,'EDS Lookup'!$H$6:$H$2819,0),""),"")</f>
        <v/>
      </c>
      <c r="H2579" t="str">
        <f t="shared" si="39"/>
        <v/>
      </c>
    </row>
    <row r="2580" spans="1:8" ht="19.95" customHeight="1">
      <c r="A2580" s="5" t="str">
        <f>IF($G2580="","",INDEX('EDS Lookup'!$D$6:$D$2819,$G2580))</f>
        <v/>
      </c>
      <c r="B2580" s="5" t="str">
        <f>IF($G2580="","",INDEX('EDS Lookup'!$B$6:$B$2819,$G2580))</f>
        <v/>
      </c>
      <c r="C2580" s="17"/>
      <c r="D2580" s="6"/>
      <c r="E2580" s="7" t="str">
        <f>IF($G2580="","",INDEX('EDS Lookup'!$F$6:$F$2819,$G2580))</f>
        <v/>
      </c>
      <c r="F2580" s="8" t="str">
        <f>IF($G2580="","",INDEX('EDS Lookup'!$G$6:$G$2819,$G2580))</f>
        <v/>
      </c>
      <c r="G2580" t="str">
        <f>IF(2557&lt;=$B$4,IFERROR(MATCH(2557,'EDS Lookup'!$H$6:$H$2819,0),""),"")</f>
        <v/>
      </c>
      <c r="H2580" t="str">
        <f t="shared" si="39"/>
        <v/>
      </c>
    </row>
    <row r="2581" spans="1:8" ht="19.95" customHeight="1">
      <c r="A2581" s="5" t="str">
        <f>IF($G2581="","",INDEX('EDS Lookup'!$D$6:$D$2819,$G2581))</f>
        <v/>
      </c>
      <c r="B2581" s="5" t="str">
        <f>IF($G2581="","",INDEX('EDS Lookup'!$B$6:$B$2819,$G2581))</f>
        <v/>
      </c>
      <c r="C2581" s="17"/>
      <c r="D2581" s="6"/>
      <c r="E2581" s="7" t="str">
        <f>IF($G2581="","",INDEX('EDS Lookup'!$F$6:$F$2819,$G2581))</f>
        <v/>
      </c>
      <c r="F2581" s="8" t="str">
        <f>IF($G2581="","",INDEX('EDS Lookup'!$G$6:$G$2819,$G2581))</f>
        <v/>
      </c>
      <c r="G2581" t="str">
        <f>IF(2558&lt;=$B$4,IFERROR(MATCH(2558,'EDS Lookup'!$H$6:$H$2819,0),""),"")</f>
        <v/>
      </c>
      <c r="H2581" t="str">
        <f t="shared" si="39"/>
        <v/>
      </c>
    </row>
    <row r="2582" spans="1:8" ht="19.95" customHeight="1">
      <c r="A2582" s="5" t="str">
        <f>IF($G2582="","",INDEX('EDS Lookup'!$D$6:$D$2819,$G2582))</f>
        <v/>
      </c>
      <c r="B2582" s="5" t="str">
        <f>IF($G2582="","",INDEX('EDS Lookup'!$B$6:$B$2819,$G2582))</f>
        <v/>
      </c>
      <c r="C2582" s="17"/>
      <c r="D2582" s="6"/>
      <c r="E2582" s="7" t="str">
        <f>IF($G2582="","",INDEX('EDS Lookup'!$F$6:$F$2819,$G2582))</f>
        <v/>
      </c>
      <c r="F2582" s="8" t="str">
        <f>IF($G2582="","",INDEX('EDS Lookup'!$G$6:$G$2819,$G2582))</f>
        <v/>
      </c>
      <c r="G2582" t="str">
        <f>IF(2559&lt;=$B$4,IFERROR(MATCH(2559,'EDS Lookup'!$H$6:$H$2819,0),""),"")</f>
        <v/>
      </c>
      <c r="H2582" t="str">
        <f t="shared" si="39"/>
        <v/>
      </c>
    </row>
    <row r="2583" spans="1:8" ht="19.95" customHeight="1">
      <c r="A2583" s="5" t="str">
        <f>IF($G2583="","",INDEX('EDS Lookup'!$D$6:$D$2819,$G2583))</f>
        <v/>
      </c>
      <c r="B2583" s="5" t="str">
        <f>IF($G2583="","",INDEX('EDS Lookup'!$B$6:$B$2819,$G2583))</f>
        <v/>
      </c>
      <c r="C2583" s="17"/>
      <c r="D2583" s="6"/>
      <c r="E2583" s="7" t="str">
        <f>IF($G2583="","",INDEX('EDS Lookup'!$F$6:$F$2819,$G2583))</f>
        <v/>
      </c>
      <c r="F2583" s="8" t="str">
        <f>IF($G2583="","",INDEX('EDS Lookup'!$G$6:$G$2819,$G2583))</f>
        <v/>
      </c>
      <c r="G2583" t="str">
        <f>IF(2560&lt;=$B$4,IFERROR(MATCH(2560,'EDS Lookup'!$H$6:$H$2819,0),""),"")</f>
        <v/>
      </c>
      <c r="H2583" t="str">
        <f t="shared" si="39"/>
        <v/>
      </c>
    </row>
    <row r="2584" spans="1:8" ht="19.95" customHeight="1">
      <c r="A2584" s="5" t="str">
        <f>IF($G2584="","",INDEX('EDS Lookup'!$D$6:$D$2819,$G2584))</f>
        <v/>
      </c>
      <c r="B2584" s="5" t="str">
        <f>IF($G2584="","",INDEX('EDS Lookup'!$B$6:$B$2819,$G2584))</f>
        <v/>
      </c>
      <c r="C2584" s="17"/>
      <c r="D2584" s="6"/>
      <c r="E2584" s="7" t="str">
        <f>IF($G2584="","",INDEX('EDS Lookup'!$F$6:$F$2819,$G2584))</f>
        <v/>
      </c>
      <c r="F2584" s="8" t="str">
        <f>IF($G2584="","",INDEX('EDS Lookup'!$G$6:$G$2819,$G2584))</f>
        <v/>
      </c>
      <c r="G2584" t="str">
        <f>IF(2561&lt;=$B$4,IFERROR(MATCH(2561,'EDS Lookup'!$H$6:$H$2819,0),""),"")</f>
        <v/>
      </c>
      <c r="H2584" t="str">
        <f t="shared" ref="H2584:H2647" si="40">IF(F2584="&lt;5",5,IF(F2584="&gt;95",95,IF(ISNUMBER(F2584),F2584,"")))</f>
        <v/>
      </c>
    </row>
    <row r="2585" spans="1:8" ht="19.95" customHeight="1">
      <c r="A2585" s="5" t="str">
        <f>IF($G2585="","",INDEX('EDS Lookup'!$D$6:$D$2819,$G2585))</f>
        <v/>
      </c>
      <c r="B2585" s="5" t="str">
        <f>IF($G2585="","",INDEX('EDS Lookup'!$B$6:$B$2819,$G2585))</f>
        <v/>
      </c>
      <c r="C2585" s="17"/>
      <c r="D2585" s="6"/>
      <c r="E2585" s="7" t="str">
        <f>IF($G2585="","",INDEX('EDS Lookup'!$F$6:$F$2819,$G2585))</f>
        <v/>
      </c>
      <c r="F2585" s="8" t="str">
        <f>IF($G2585="","",INDEX('EDS Lookup'!$G$6:$G$2819,$G2585))</f>
        <v/>
      </c>
      <c r="G2585" t="str">
        <f>IF(2562&lt;=$B$4,IFERROR(MATCH(2562,'EDS Lookup'!$H$6:$H$2819,0),""),"")</f>
        <v/>
      </c>
      <c r="H2585" t="str">
        <f t="shared" si="40"/>
        <v/>
      </c>
    </row>
    <row r="2586" spans="1:8" ht="19.95" customHeight="1">
      <c r="A2586" s="5" t="str">
        <f>IF($G2586="","",INDEX('EDS Lookup'!$D$6:$D$2819,$G2586))</f>
        <v/>
      </c>
      <c r="B2586" s="5" t="str">
        <f>IF($G2586="","",INDEX('EDS Lookup'!$B$6:$B$2819,$G2586))</f>
        <v/>
      </c>
      <c r="C2586" s="17"/>
      <c r="D2586" s="6"/>
      <c r="E2586" s="7" t="str">
        <f>IF($G2586="","",INDEX('EDS Lookup'!$F$6:$F$2819,$G2586))</f>
        <v/>
      </c>
      <c r="F2586" s="8" t="str">
        <f>IF($G2586="","",INDEX('EDS Lookup'!$G$6:$G$2819,$G2586))</f>
        <v/>
      </c>
      <c r="G2586" t="str">
        <f>IF(2563&lt;=$B$4,IFERROR(MATCH(2563,'EDS Lookup'!$H$6:$H$2819,0),""),"")</f>
        <v/>
      </c>
      <c r="H2586" t="str">
        <f t="shared" si="40"/>
        <v/>
      </c>
    </row>
    <row r="2587" spans="1:8" ht="19.95" customHeight="1">
      <c r="A2587" s="5" t="str">
        <f>IF($G2587="","",INDEX('EDS Lookup'!$D$6:$D$2819,$G2587))</f>
        <v/>
      </c>
      <c r="B2587" s="5" t="str">
        <f>IF($G2587="","",INDEX('EDS Lookup'!$B$6:$B$2819,$G2587))</f>
        <v/>
      </c>
      <c r="C2587" s="17"/>
      <c r="D2587" s="6"/>
      <c r="E2587" s="7" t="str">
        <f>IF($G2587="","",INDEX('EDS Lookup'!$F$6:$F$2819,$G2587))</f>
        <v/>
      </c>
      <c r="F2587" s="8" t="str">
        <f>IF($G2587="","",INDEX('EDS Lookup'!$G$6:$G$2819,$G2587))</f>
        <v/>
      </c>
      <c r="G2587" t="str">
        <f>IF(2564&lt;=$B$4,IFERROR(MATCH(2564,'EDS Lookup'!$H$6:$H$2819,0),""),"")</f>
        <v/>
      </c>
      <c r="H2587" t="str">
        <f t="shared" si="40"/>
        <v/>
      </c>
    </row>
    <row r="2588" spans="1:8" ht="19.95" customHeight="1">
      <c r="A2588" s="5" t="str">
        <f>IF($G2588="","",INDEX('EDS Lookup'!$D$6:$D$2819,$G2588))</f>
        <v/>
      </c>
      <c r="B2588" s="5" t="str">
        <f>IF($G2588="","",INDEX('EDS Lookup'!$B$6:$B$2819,$G2588))</f>
        <v/>
      </c>
      <c r="C2588" s="17"/>
      <c r="D2588" s="6"/>
      <c r="E2588" s="7" t="str">
        <f>IF($G2588="","",INDEX('EDS Lookup'!$F$6:$F$2819,$G2588))</f>
        <v/>
      </c>
      <c r="F2588" s="8" t="str">
        <f>IF($G2588="","",INDEX('EDS Lookup'!$G$6:$G$2819,$G2588))</f>
        <v/>
      </c>
      <c r="G2588" t="str">
        <f>IF(2565&lt;=$B$4,IFERROR(MATCH(2565,'EDS Lookup'!$H$6:$H$2819,0),""),"")</f>
        <v/>
      </c>
      <c r="H2588" t="str">
        <f t="shared" si="40"/>
        <v/>
      </c>
    </row>
    <row r="2589" spans="1:8" ht="19.95" customHeight="1">
      <c r="A2589" s="5" t="str">
        <f>IF($G2589="","",INDEX('EDS Lookup'!$D$6:$D$2819,$G2589))</f>
        <v/>
      </c>
      <c r="B2589" s="5" t="str">
        <f>IF($G2589="","",INDEX('EDS Lookup'!$B$6:$B$2819,$G2589))</f>
        <v/>
      </c>
      <c r="C2589" s="17"/>
      <c r="D2589" s="6"/>
      <c r="E2589" s="7" t="str">
        <f>IF($G2589="","",INDEX('EDS Lookup'!$F$6:$F$2819,$G2589))</f>
        <v/>
      </c>
      <c r="F2589" s="8" t="str">
        <f>IF($G2589="","",INDEX('EDS Lookup'!$G$6:$G$2819,$G2589))</f>
        <v/>
      </c>
      <c r="G2589" t="str">
        <f>IF(2566&lt;=$B$4,IFERROR(MATCH(2566,'EDS Lookup'!$H$6:$H$2819,0),""),"")</f>
        <v/>
      </c>
      <c r="H2589" t="str">
        <f t="shared" si="40"/>
        <v/>
      </c>
    </row>
    <row r="2590" spans="1:8" ht="19.95" customHeight="1">
      <c r="A2590" s="5" t="str">
        <f>IF($G2590="","",INDEX('EDS Lookup'!$D$6:$D$2819,$G2590))</f>
        <v/>
      </c>
      <c r="B2590" s="5" t="str">
        <f>IF($G2590="","",INDEX('EDS Lookup'!$B$6:$B$2819,$G2590))</f>
        <v/>
      </c>
      <c r="C2590" s="17"/>
      <c r="D2590" s="6"/>
      <c r="E2590" s="7" t="str">
        <f>IF($G2590="","",INDEX('EDS Lookup'!$F$6:$F$2819,$G2590))</f>
        <v/>
      </c>
      <c r="F2590" s="8" t="str">
        <f>IF($G2590="","",INDEX('EDS Lookup'!$G$6:$G$2819,$G2590))</f>
        <v/>
      </c>
      <c r="G2590" t="str">
        <f>IF(2567&lt;=$B$4,IFERROR(MATCH(2567,'EDS Lookup'!$H$6:$H$2819,0),""),"")</f>
        <v/>
      </c>
      <c r="H2590" t="str">
        <f t="shared" si="40"/>
        <v/>
      </c>
    </row>
    <row r="2591" spans="1:8" ht="19.95" customHeight="1">
      <c r="A2591" s="5" t="str">
        <f>IF($G2591="","",INDEX('EDS Lookup'!$D$6:$D$2819,$G2591))</f>
        <v/>
      </c>
      <c r="B2591" s="5" t="str">
        <f>IF($G2591="","",INDEX('EDS Lookup'!$B$6:$B$2819,$G2591))</f>
        <v/>
      </c>
      <c r="C2591" s="17"/>
      <c r="D2591" s="6"/>
      <c r="E2591" s="7" t="str">
        <f>IF($G2591="","",INDEX('EDS Lookup'!$F$6:$F$2819,$G2591))</f>
        <v/>
      </c>
      <c r="F2591" s="8" t="str">
        <f>IF($G2591="","",INDEX('EDS Lookup'!$G$6:$G$2819,$G2591))</f>
        <v/>
      </c>
      <c r="G2591" t="str">
        <f>IF(2568&lt;=$B$4,IFERROR(MATCH(2568,'EDS Lookup'!$H$6:$H$2819,0),""),"")</f>
        <v/>
      </c>
      <c r="H2591" t="str">
        <f t="shared" si="40"/>
        <v/>
      </c>
    </row>
    <row r="2592" spans="1:8" ht="19.95" customHeight="1">
      <c r="A2592" s="5" t="str">
        <f>IF($G2592="","",INDEX('EDS Lookup'!$D$6:$D$2819,$G2592))</f>
        <v/>
      </c>
      <c r="B2592" s="5" t="str">
        <f>IF($G2592="","",INDEX('EDS Lookup'!$B$6:$B$2819,$G2592))</f>
        <v/>
      </c>
      <c r="C2592" s="17"/>
      <c r="D2592" s="6"/>
      <c r="E2592" s="7" t="str">
        <f>IF($G2592="","",INDEX('EDS Lookup'!$F$6:$F$2819,$G2592))</f>
        <v/>
      </c>
      <c r="F2592" s="8" t="str">
        <f>IF($G2592="","",INDEX('EDS Lookup'!$G$6:$G$2819,$G2592))</f>
        <v/>
      </c>
      <c r="G2592" t="str">
        <f>IF(2569&lt;=$B$4,IFERROR(MATCH(2569,'EDS Lookup'!$H$6:$H$2819,0),""),"")</f>
        <v/>
      </c>
      <c r="H2592" t="str">
        <f t="shared" si="40"/>
        <v/>
      </c>
    </row>
    <row r="2593" spans="1:8" ht="19.95" customHeight="1">
      <c r="A2593" s="5" t="str">
        <f>IF($G2593="","",INDEX('EDS Lookup'!$D$6:$D$2819,$G2593))</f>
        <v/>
      </c>
      <c r="B2593" s="5" t="str">
        <f>IF($G2593="","",INDEX('EDS Lookup'!$B$6:$B$2819,$G2593))</f>
        <v/>
      </c>
      <c r="C2593" s="17"/>
      <c r="D2593" s="6"/>
      <c r="E2593" s="7" t="str">
        <f>IF($G2593="","",INDEX('EDS Lookup'!$F$6:$F$2819,$G2593))</f>
        <v/>
      </c>
      <c r="F2593" s="8" t="str">
        <f>IF($G2593="","",INDEX('EDS Lookup'!$G$6:$G$2819,$G2593))</f>
        <v/>
      </c>
      <c r="G2593" t="str">
        <f>IF(2570&lt;=$B$4,IFERROR(MATCH(2570,'EDS Lookup'!$H$6:$H$2819,0),""),"")</f>
        <v/>
      </c>
      <c r="H2593" t="str">
        <f t="shared" si="40"/>
        <v/>
      </c>
    </row>
    <row r="2594" spans="1:8" ht="19.95" customHeight="1">
      <c r="A2594" s="5" t="str">
        <f>IF($G2594="","",INDEX('EDS Lookup'!$D$6:$D$2819,$G2594))</f>
        <v/>
      </c>
      <c r="B2594" s="5" t="str">
        <f>IF($G2594="","",INDEX('EDS Lookup'!$B$6:$B$2819,$G2594))</f>
        <v/>
      </c>
      <c r="C2594" s="17"/>
      <c r="D2594" s="6"/>
      <c r="E2594" s="7" t="str">
        <f>IF($G2594="","",INDEX('EDS Lookup'!$F$6:$F$2819,$G2594))</f>
        <v/>
      </c>
      <c r="F2594" s="8" t="str">
        <f>IF($G2594="","",INDEX('EDS Lookup'!$G$6:$G$2819,$G2594))</f>
        <v/>
      </c>
      <c r="G2594" t="str">
        <f>IF(2571&lt;=$B$4,IFERROR(MATCH(2571,'EDS Lookup'!$H$6:$H$2819,0),""),"")</f>
        <v/>
      </c>
      <c r="H2594" t="str">
        <f t="shared" si="40"/>
        <v/>
      </c>
    </row>
    <row r="2595" spans="1:8" ht="19.95" customHeight="1">
      <c r="A2595" s="5" t="str">
        <f>IF($G2595="","",INDEX('EDS Lookup'!$D$6:$D$2819,$G2595))</f>
        <v/>
      </c>
      <c r="B2595" s="5" t="str">
        <f>IF($G2595="","",INDEX('EDS Lookup'!$B$6:$B$2819,$G2595))</f>
        <v/>
      </c>
      <c r="C2595" s="17"/>
      <c r="D2595" s="6"/>
      <c r="E2595" s="7" t="str">
        <f>IF($G2595="","",INDEX('EDS Lookup'!$F$6:$F$2819,$G2595))</f>
        <v/>
      </c>
      <c r="F2595" s="8" t="str">
        <f>IF($G2595="","",INDEX('EDS Lookup'!$G$6:$G$2819,$G2595))</f>
        <v/>
      </c>
      <c r="G2595" t="str">
        <f>IF(2572&lt;=$B$4,IFERROR(MATCH(2572,'EDS Lookup'!$H$6:$H$2819,0),""),"")</f>
        <v/>
      </c>
      <c r="H2595" t="str">
        <f t="shared" si="40"/>
        <v/>
      </c>
    </row>
    <row r="2596" spans="1:8" ht="19.95" customHeight="1">
      <c r="A2596" s="5" t="str">
        <f>IF($G2596="","",INDEX('EDS Lookup'!$D$6:$D$2819,$G2596))</f>
        <v/>
      </c>
      <c r="B2596" s="5" t="str">
        <f>IF($G2596="","",INDEX('EDS Lookup'!$B$6:$B$2819,$G2596))</f>
        <v/>
      </c>
      <c r="C2596" s="17"/>
      <c r="D2596" s="6"/>
      <c r="E2596" s="7" t="str">
        <f>IF($G2596="","",INDEX('EDS Lookup'!$F$6:$F$2819,$G2596))</f>
        <v/>
      </c>
      <c r="F2596" s="8" t="str">
        <f>IF($G2596="","",INDEX('EDS Lookup'!$G$6:$G$2819,$G2596))</f>
        <v/>
      </c>
      <c r="G2596" t="str">
        <f>IF(2573&lt;=$B$4,IFERROR(MATCH(2573,'EDS Lookup'!$H$6:$H$2819,0),""),"")</f>
        <v/>
      </c>
      <c r="H2596" t="str">
        <f t="shared" si="40"/>
        <v/>
      </c>
    </row>
    <row r="2597" spans="1:8" ht="19.95" customHeight="1">
      <c r="A2597" s="5" t="str">
        <f>IF($G2597="","",INDEX('EDS Lookup'!$D$6:$D$2819,$G2597))</f>
        <v/>
      </c>
      <c r="B2597" s="5" t="str">
        <f>IF($G2597="","",INDEX('EDS Lookup'!$B$6:$B$2819,$G2597))</f>
        <v/>
      </c>
      <c r="C2597" s="17"/>
      <c r="D2597" s="6"/>
      <c r="E2597" s="7" t="str">
        <f>IF($G2597="","",INDEX('EDS Lookup'!$F$6:$F$2819,$G2597))</f>
        <v/>
      </c>
      <c r="F2597" s="8" t="str">
        <f>IF($G2597="","",INDEX('EDS Lookup'!$G$6:$G$2819,$G2597))</f>
        <v/>
      </c>
      <c r="G2597" t="str">
        <f>IF(2574&lt;=$B$4,IFERROR(MATCH(2574,'EDS Lookup'!$H$6:$H$2819,0),""),"")</f>
        <v/>
      </c>
      <c r="H2597" t="str">
        <f t="shared" si="40"/>
        <v/>
      </c>
    </row>
    <row r="2598" spans="1:8" ht="19.95" customHeight="1">
      <c r="A2598" s="5" t="str">
        <f>IF($G2598="","",INDEX('EDS Lookup'!$D$6:$D$2819,$G2598))</f>
        <v/>
      </c>
      <c r="B2598" s="5" t="str">
        <f>IF($G2598="","",INDEX('EDS Lookup'!$B$6:$B$2819,$G2598))</f>
        <v/>
      </c>
      <c r="C2598" s="17"/>
      <c r="D2598" s="6"/>
      <c r="E2598" s="7" t="str">
        <f>IF($G2598="","",INDEX('EDS Lookup'!$F$6:$F$2819,$G2598))</f>
        <v/>
      </c>
      <c r="F2598" s="8" t="str">
        <f>IF($G2598="","",INDEX('EDS Lookup'!$G$6:$G$2819,$G2598))</f>
        <v/>
      </c>
      <c r="G2598" t="str">
        <f>IF(2575&lt;=$B$4,IFERROR(MATCH(2575,'EDS Lookup'!$H$6:$H$2819,0),""),"")</f>
        <v/>
      </c>
      <c r="H2598" t="str">
        <f t="shared" si="40"/>
        <v/>
      </c>
    </row>
    <row r="2599" spans="1:8" ht="19.95" customHeight="1">
      <c r="A2599" s="5" t="str">
        <f>IF($G2599="","",INDEX('EDS Lookup'!$D$6:$D$2819,$G2599))</f>
        <v/>
      </c>
      <c r="B2599" s="5" t="str">
        <f>IF($G2599="","",INDEX('EDS Lookup'!$B$6:$B$2819,$G2599))</f>
        <v/>
      </c>
      <c r="C2599" s="17"/>
      <c r="D2599" s="6"/>
      <c r="E2599" s="7" t="str">
        <f>IF($G2599="","",INDEX('EDS Lookup'!$F$6:$F$2819,$G2599))</f>
        <v/>
      </c>
      <c r="F2599" s="8" t="str">
        <f>IF($G2599="","",INDEX('EDS Lookup'!$G$6:$G$2819,$G2599))</f>
        <v/>
      </c>
      <c r="G2599" t="str">
        <f>IF(2576&lt;=$B$4,IFERROR(MATCH(2576,'EDS Lookup'!$H$6:$H$2819,0),""),"")</f>
        <v/>
      </c>
      <c r="H2599" t="str">
        <f t="shared" si="40"/>
        <v/>
      </c>
    </row>
    <row r="2600" spans="1:8" ht="19.95" customHeight="1">
      <c r="A2600" s="5" t="str">
        <f>IF($G2600="","",INDEX('EDS Lookup'!$D$6:$D$2819,$G2600))</f>
        <v/>
      </c>
      <c r="B2600" s="5" t="str">
        <f>IF($G2600="","",INDEX('EDS Lookup'!$B$6:$B$2819,$G2600))</f>
        <v/>
      </c>
      <c r="C2600" s="17"/>
      <c r="D2600" s="6"/>
      <c r="E2600" s="7" t="str">
        <f>IF($G2600="","",INDEX('EDS Lookup'!$F$6:$F$2819,$G2600))</f>
        <v/>
      </c>
      <c r="F2600" s="8" t="str">
        <f>IF($G2600="","",INDEX('EDS Lookup'!$G$6:$G$2819,$G2600))</f>
        <v/>
      </c>
      <c r="G2600" t="str">
        <f>IF(2577&lt;=$B$4,IFERROR(MATCH(2577,'EDS Lookup'!$H$6:$H$2819,0),""),"")</f>
        <v/>
      </c>
      <c r="H2600" t="str">
        <f t="shared" si="40"/>
        <v/>
      </c>
    </row>
    <row r="2601" spans="1:8" ht="19.95" customHeight="1">
      <c r="A2601" s="5" t="str">
        <f>IF($G2601="","",INDEX('EDS Lookup'!$D$6:$D$2819,$G2601))</f>
        <v/>
      </c>
      <c r="B2601" s="5" t="str">
        <f>IF($G2601="","",INDEX('EDS Lookup'!$B$6:$B$2819,$G2601))</f>
        <v/>
      </c>
      <c r="C2601" s="17"/>
      <c r="D2601" s="6"/>
      <c r="E2601" s="7" t="str">
        <f>IF($G2601="","",INDEX('EDS Lookup'!$F$6:$F$2819,$G2601))</f>
        <v/>
      </c>
      <c r="F2601" s="8" t="str">
        <f>IF($G2601="","",INDEX('EDS Lookup'!$G$6:$G$2819,$G2601))</f>
        <v/>
      </c>
      <c r="G2601" t="str">
        <f>IF(2578&lt;=$B$4,IFERROR(MATCH(2578,'EDS Lookup'!$H$6:$H$2819,0),""),"")</f>
        <v/>
      </c>
      <c r="H2601" t="str">
        <f t="shared" si="40"/>
        <v/>
      </c>
    </row>
    <row r="2602" spans="1:8" ht="19.95" customHeight="1">
      <c r="A2602" s="5" t="str">
        <f>IF($G2602="","",INDEX('EDS Lookup'!$D$6:$D$2819,$G2602))</f>
        <v/>
      </c>
      <c r="B2602" s="5" t="str">
        <f>IF($G2602="","",INDEX('EDS Lookup'!$B$6:$B$2819,$G2602))</f>
        <v/>
      </c>
      <c r="C2602" s="17"/>
      <c r="D2602" s="6"/>
      <c r="E2602" s="7" t="str">
        <f>IF($G2602="","",INDEX('EDS Lookup'!$F$6:$F$2819,$G2602))</f>
        <v/>
      </c>
      <c r="F2602" s="8" t="str">
        <f>IF($G2602="","",INDEX('EDS Lookup'!$G$6:$G$2819,$G2602))</f>
        <v/>
      </c>
      <c r="G2602" t="str">
        <f>IF(2579&lt;=$B$4,IFERROR(MATCH(2579,'EDS Lookup'!$H$6:$H$2819,0),""),"")</f>
        <v/>
      </c>
      <c r="H2602" t="str">
        <f t="shared" si="40"/>
        <v/>
      </c>
    </row>
    <row r="2603" spans="1:8" ht="19.95" customHeight="1">
      <c r="A2603" s="5" t="str">
        <f>IF($G2603="","",INDEX('EDS Lookup'!$D$6:$D$2819,$G2603))</f>
        <v/>
      </c>
      <c r="B2603" s="5" t="str">
        <f>IF($G2603="","",INDEX('EDS Lookup'!$B$6:$B$2819,$G2603))</f>
        <v/>
      </c>
      <c r="C2603" s="17"/>
      <c r="D2603" s="6"/>
      <c r="E2603" s="7" t="str">
        <f>IF($G2603="","",INDEX('EDS Lookup'!$F$6:$F$2819,$G2603))</f>
        <v/>
      </c>
      <c r="F2603" s="8" t="str">
        <f>IF($G2603="","",INDEX('EDS Lookup'!$G$6:$G$2819,$G2603))</f>
        <v/>
      </c>
      <c r="G2603" t="str">
        <f>IF(2580&lt;=$B$4,IFERROR(MATCH(2580,'EDS Lookup'!$H$6:$H$2819,0),""),"")</f>
        <v/>
      </c>
      <c r="H2603" t="str">
        <f t="shared" si="40"/>
        <v/>
      </c>
    </row>
    <row r="2604" spans="1:8" ht="19.95" customHeight="1">
      <c r="A2604" s="5" t="str">
        <f>IF($G2604="","",INDEX('EDS Lookup'!$D$6:$D$2819,$G2604))</f>
        <v/>
      </c>
      <c r="B2604" s="5" t="str">
        <f>IF($G2604="","",INDEX('EDS Lookup'!$B$6:$B$2819,$G2604))</f>
        <v/>
      </c>
      <c r="C2604" s="17"/>
      <c r="D2604" s="6"/>
      <c r="E2604" s="7" t="str">
        <f>IF($G2604="","",INDEX('EDS Lookup'!$F$6:$F$2819,$G2604))</f>
        <v/>
      </c>
      <c r="F2604" s="8" t="str">
        <f>IF($G2604="","",INDEX('EDS Lookup'!$G$6:$G$2819,$G2604))</f>
        <v/>
      </c>
      <c r="G2604" t="str">
        <f>IF(2581&lt;=$B$4,IFERROR(MATCH(2581,'EDS Lookup'!$H$6:$H$2819,0),""),"")</f>
        <v/>
      </c>
      <c r="H2604" t="str">
        <f t="shared" si="40"/>
        <v/>
      </c>
    </row>
    <row r="2605" spans="1:8" ht="19.95" customHeight="1">
      <c r="A2605" s="5" t="str">
        <f>IF($G2605="","",INDEX('EDS Lookup'!$D$6:$D$2819,$G2605))</f>
        <v/>
      </c>
      <c r="B2605" s="5" t="str">
        <f>IF($G2605="","",INDEX('EDS Lookup'!$B$6:$B$2819,$G2605))</f>
        <v/>
      </c>
      <c r="C2605" s="17"/>
      <c r="D2605" s="6"/>
      <c r="E2605" s="7" t="str">
        <f>IF($G2605="","",INDEX('EDS Lookup'!$F$6:$F$2819,$G2605))</f>
        <v/>
      </c>
      <c r="F2605" s="8" t="str">
        <f>IF($G2605="","",INDEX('EDS Lookup'!$G$6:$G$2819,$G2605))</f>
        <v/>
      </c>
      <c r="G2605" t="str">
        <f>IF(2582&lt;=$B$4,IFERROR(MATCH(2582,'EDS Lookup'!$H$6:$H$2819,0),""),"")</f>
        <v/>
      </c>
      <c r="H2605" t="str">
        <f t="shared" si="40"/>
        <v/>
      </c>
    </row>
    <row r="2606" spans="1:8" ht="19.95" customHeight="1">
      <c r="A2606" s="5" t="str">
        <f>IF($G2606="","",INDEX('EDS Lookup'!$D$6:$D$2819,$G2606))</f>
        <v/>
      </c>
      <c r="B2606" s="5" t="str">
        <f>IF($G2606="","",INDEX('EDS Lookup'!$B$6:$B$2819,$G2606))</f>
        <v/>
      </c>
      <c r="C2606" s="17"/>
      <c r="D2606" s="6"/>
      <c r="E2606" s="7" t="str">
        <f>IF($G2606="","",INDEX('EDS Lookup'!$F$6:$F$2819,$G2606))</f>
        <v/>
      </c>
      <c r="F2606" s="8" t="str">
        <f>IF($G2606="","",INDEX('EDS Lookup'!$G$6:$G$2819,$G2606))</f>
        <v/>
      </c>
      <c r="G2606" t="str">
        <f>IF(2583&lt;=$B$4,IFERROR(MATCH(2583,'EDS Lookup'!$H$6:$H$2819,0),""),"")</f>
        <v/>
      </c>
      <c r="H2606" t="str">
        <f t="shared" si="40"/>
        <v/>
      </c>
    </row>
    <row r="2607" spans="1:8" ht="19.95" customHeight="1">
      <c r="A2607" s="5" t="str">
        <f>IF($G2607="","",INDEX('EDS Lookup'!$D$6:$D$2819,$G2607))</f>
        <v/>
      </c>
      <c r="B2607" s="5" t="str">
        <f>IF($G2607="","",INDEX('EDS Lookup'!$B$6:$B$2819,$G2607))</f>
        <v/>
      </c>
      <c r="C2607" s="17"/>
      <c r="D2607" s="6"/>
      <c r="E2607" s="7" t="str">
        <f>IF($G2607="","",INDEX('EDS Lookup'!$F$6:$F$2819,$G2607))</f>
        <v/>
      </c>
      <c r="F2607" s="8" t="str">
        <f>IF($G2607="","",INDEX('EDS Lookup'!$G$6:$G$2819,$G2607))</f>
        <v/>
      </c>
      <c r="G2607" t="str">
        <f>IF(2584&lt;=$B$4,IFERROR(MATCH(2584,'EDS Lookup'!$H$6:$H$2819,0),""),"")</f>
        <v/>
      </c>
      <c r="H2607" t="str">
        <f t="shared" si="40"/>
        <v/>
      </c>
    </row>
    <row r="2608" spans="1:8" ht="19.95" customHeight="1">
      <c r="A2608" s="5" t="str">
        <f>IF($G2608="","",INDEX('EDS Lookup'!$D$6:$D$2819,$G2608))</f>
        <v/>
      </c>
      <c r="B2608" s="5" t="str">
        <f>IF($G2608="","",INDEX('EDS Lookup'!$B$6:$B$2819,$G2608))</f>
        <v/>
      </c>
      <c r="C2608" s="17"/>
      <c r="D2608" s="6"/>
      <c r="E2608" s="7" t="str">
        <f>IF($G2608="","",INDEX('EDS Lookup'!$F$6:$F$2819,$G2608))</f>
        <v/>
      </c>
      <c r="F2608" s="8" t="str">
        <f>IF($G2608="","",INDEX('EDS Lookup'!$G$6:$G$2819,$G2608))</f>
        <v/>
      </c>
      <c r="G2608" t="str">
        <f>IF(2585&lt;=$B$4,IFERROR(MATCH(2585,'EDS Lookup'!$H$6:$H$2819,0),""),"")</f>
        <v/>
      </c>
      <c r="H2608" t="str">
        <f t="shared" si="40"/>
        <v/>
      </c>
    </row>
    <row r="2609" spans="1:8" ht="19.95" customHeight="1">
      <c r="A2609" s="5" t="str">
        <f>IF($G2609="","",INDEX('EDS Lookup'!$D$6:$D$2819,$G2609))</f>
        <v/>
      </c>
      <c r="B2609" s="5" t="str">
        <f>IF($G2609="","",INDEX('EDS Lookup'!$B$6:$B$2819,$G2609))</f>
        <v/>
      </c>
      <c r="C2609" s="17"/>
      <c r="D2609" s="6"/>
      <c r="E2609" s="7" t="str">
        <f>IF($G2609="","",INDEX('EDS Lookup'!$F$6:$F$2819,$G2609))</f>
        <v/>
      </c>
      <c r="F2609" s="8" t="str">
        <f>IF($G2609="","",INDEX('EDS Lookup'!$G$6:$G$2819,$G2609))</f>
        <v/>
      </c>
      <c r="G2609" t="str">
        <f>IF(2586&lt;=$B$4,IFERROR(MATCH(2586,'EDS Lookup'!$H$6:$H$2819,0),""),"")</f>
        <v/>
      </c>
      <c r="H2609" t="str">
        <f t="shared" si="40"/>
        <v/>
      </c>
    </row>
    <row r="2610" spans="1:8" ht="19.95" customHeight="1">
      <c r="A2610" s="5" t="str">
        <f>IF($G2610="","",INDEX('EDS Lookup'!$D$6:$D$2819,$G2610))</f>
        <v/>
      </c>
      <c r="B2610" s="5" t="str">
        <f>IF($G2610="","",INDEX('EDS Lookup'!$B$6:$B$2819,$G2610))</f>
        <v/>
      </c>
      <c r="C2610" s="17"/>
      <c r="D2610" s="6"/>
      <c r="E2610" s="7" t="str">
        <f>IF($G2610="","",INDEX('EDS Lookup'!$F$6:$F$2819,$G2610))</f>
        <v/>
      </c>
      <c r="F2610" s="8" t="str">
        <f>IF($G2610="","",INDEX('EDS Lookup'!$G$6:$G$2819,$G2610))</f>
        <v/>
      </c>
      <c r="G2610" t="str">
        <f>IF(2587&lt;=$B$4,IFERROR(MATCH(2587,'EDS Lookup'!$H$6:$H$2819,0),""),"")</f>
        <v/>
      </c>
      <c r="H2610" t="str">
        <f t="shared" si="40"/>
        <v/>
      </c>
    </row>
    <row r="2611" spans="1:8" ht="19.95" customHeight="1">
      <c r="A2611" s="5" t="str">
        <f>IF($G2611="","",INDEX('EDS Lookup'!$D$6:$D$2819,$G2611))</f>
        <v/>
      </c>
      <c r="B2611" s="5" t="str">
        <f>IF($G2611="","",INDEX('EDS Lookup'!$B$6:$B$2819,$G2611))</f>
        <v/>
      </c>
      <c r="C2611" s="17"/>
      <c r="D2611" s="6"/>
      <c r="E2611" s="7" t="str">
        <f>IF($G2611="","",INDEX('EDS Lookup'!$F$6:$F$2819,$G2611))</f>
        <v/>
      </c>
      <c r="F2611" s="8" t="str">
        <f>IF($G2611="","",INDEX('EDS Lookup'!$G$6:$G$2819,$G2611))</f>
        <v/>
      </c>
      <c r="G2611" t="str">
        <f>IF(2588&lt;=$B$4,IFERROR(MATCH(2588,'EDS Lookup'!$H$6:$H$2819,0),""),"")</f>
        <v/>
      </c>
      <c r="H2611" t="str">
        <f t="shared" si="40"/>
        <v/>
      </c>
    </row>
    <row r="2612" spans="1:8" ht="19.95" customHeight="1">
      <c r="A2612" s="5" t="str">
        <f>IF($G2612="","",INDEX('EDS Lookup'!$D$6:$D$2819,$G2612))</f>
        <v/>
      </c>
      <c r="B2612" s="5" t="str">
        <f>IF($G2612="","",INDEX('EDS Lookup'!$B$6:$B$2819,$G2612))</f>
        <v/>
      </c>
      <c r="C2612" s="17"/>
      <c r="D2612" s="6"/>
      <c r="E2612" s="7" t="str">
        <f>IF($G2612="","",INDEX('EDS Lookup'!$F$6:$F$2819,$G2612))</f>
        <v/>
      </c>
      <c r="F2612" s="8" t="str">
        <f>IF($G2612="","",INDEX('EDS Lookup'!$G$6:$G$2819,$G2612))</f>
        <v/>
      </c>
      <c r="G2612" t="str">
        <f>IF(2589&lt;=$B$4,IFERROR(MATCH(2589,'EDS Lookup'!$H$6:$H$2819,0),""),"")</f>
        <v/>
      </c>
      <c r="H2612" t="str">
        <f t="shared" si="40"/>
        <v/>
      </c>
    </row>
    <row r="2613" spans="1:8" ht="19.95" customHeight="1">
      <c r="A2613" s="5" t="str">
        <f>IF($G2613="","",INDEX('EDS Lookup'!$D$6:$D$2819,$G2613))</f>
        <v/>
      </c>
      <c r="B2613" s="5" t="str">
        <f>IF($G2613="","",INDEX('EDS Lookup'!$B$6:$B$2819,$G2613))</f>
        <v/>
      </c>
      <c r="C2613" s="17"/>
      <c r="D2613" s="6"/>
      <c r="E2613" s="7" t="str">
        <f>IF($G2613="","",INDEX('EDS Lookup'!$F$6:$F$2819,$G2613))</f>
        <v/>
      </c>
      <c r="F2613" s="8" t="str">
        <f>IF($G2613="","",INDEX('EDS Lookup'!$G$6:$G$2819,$G2613))</f>
        <v/>
      </c>
      <c r="G2613" t="str">
        <f>IF(2590&lt;=$B$4,IFERROR(MATCH(2590,'EDS Lookup'!$H$6:$H$2819,0),""),"")</f>
        <v/>
      </c>
      <c r="H2613" t="str">
        <f t="shared" si="40"/>
        <v/>
      </c>
    </row>
    <row r="2614" spans="1:8" ht="19.95" customHeight="1">
      <c r="A2614" s="5" t="str">
        <f>IF($G2614="","",INDEX('EDS Lookup'!$D$6:$D$2819,$G2614))</f>
        <v/>
      </c>
      <c r="B2614" s="5" t="str">
        <f>IF($G2614="","",INDEX('EDS Lookup'!$B$6:$B$2819,$G2614))</f>
        <v/>
      </c>
      <c r="C2614" s="17"/>
      <c r="D2614" s="6"/>
      <c r="E2614" s="7" t="str">
        <f>IF($G2614="","",INDEX('EDS Lookup'!$F$6:$F$2819,$G2614))</f>
        <v/>
      </c>
      <c r="F2614" s="8" t="str">
        <f>IF($G2614="","",INDEX('EDS Lookup'!$G$6:$G$2819,$G2614))</f>
        <v/>
      </c>
      <c r="G2614" t="str">
        <f>IF(2591&lt;=$B$4,IFERROR(MATCH(2591,'EDS Lookup'!$H$6:$H$2819,0),""),"")</f>
        <v/>
      </c>
      <c r="H2614" t="str">
        <f t="shared" si="40"/>
        <v/>
      </c>
    </row>
    <row r="2615" spans="1:8" ht="19.95" customHeight="1">
      <c r="A2615" s="5" t="str">
        <f>IF($G2615="","",INDEX('EDS Lookup'!$D$6:$D$2819,$G2615))</f>
        <v/>
      </c>
      <c r="B2615" s="5" t="str">
        <f>IF($G2615="","",INDEX('EDS Lookup'!$B$6:$B$2819,$G2615))</f>
        <v/>
      </c>
      <c r="C2615" s="17"/>
      <c r="D2615" s="6"/>
      <c r="E2615" s="7" t="str">
        <f>IF($G2615="","",INDEX('EDS Lookup'!$F$6:$F$2819,$G2615))</f>
        <v/>
      </c>
      <c r="F2615" s="8" t="str">
        <f>IF($G2615="","",INDEX('EDS Lookup'!$G$6:$G$2819,$G2615))</f>
        <v/>
      </c>
      <c r="G2615" t="str">
        <f>IF(2592&lt;=$B$4,IFERROR(MATCH(2592,'EDS Lookup'!$H$6:$H$2819,0),""),"")</f>
        <v/>
      </c>
      <c r="H2615" t="str">
        <f t="shared" si="40"/>
        <v/>
      </c>
    </row>
    <row r="2616" spans="1:8" ht="19.95" customHeight="1">
      <c r="A2616" s="5" t="str">
        <f>IF($G2616="","",INDEX('EDS Lookup'!$D$6:$D$2819,$G2616))</f>
        <v/>
      </c>
      <c r="B2616" s="5" t="str">
        <f>IF($G2616="","",INDEX('EDS Lookup'!$B$6:$B$2819,$G2616))</f>
        <v/>
      </c>
      <c r="C2616" s="17"/>
      <c r="D2616" s="6"/>
      <c r="E2616" s="7" t="str">
        <f>IF($G2616="","",INDEX('EDS Lookup'!$F$6:$F$2819,$G2616))</f>
        <v/>
      </c>
      <c r="F2616" s="8" t="str">
        <f>IF($G2616="","",INDEX('EDS Lookup'!$G$6:$G$2819,$G2616))</f>
        <v/>
      </c>
      <c r="G2616" t="str">
        <f>IF(2593&lt;=$B$4,IFERROR(MATCH(2593,'EDS Lookup'!$H$6:$H$2819,0),""),"")</f>
        <v/>
      </c>
      <c r="H2616" t="str">
        <f t="shared" si="40"/>
        <v/>
      </c>
    </row>
    <row r="2617" spans="1:8" ht="19.95" customHeight="1">
      <c r="A2617" s="5" t="str">
        <f>IF($G2617="","",INDEX('EDS Lookup'!$D$6:$D$2819,$G2617))</f>
        <v/>
      </c>
      <c r="B2617" s="5" t="str">
        <f>IF($G2617="","",INDEX('EDS Lookup'!$B$6:$B$2819,$G2617))</f>
        <v/>
      </c>
      <c r="C2617" s="17"/>
      <c r="D2617" s="6"/>
      <c r="E2617" s="7" t="str">
        <f>IF($G2617="","",INDEX('EDS Lookup'!$F$6:$F$2819,$G2617))</f>
        <v/>
      </c>
      <c r="F2617" s="8" t="str">
        <f>IF($G2617="","",INDEX('EDS Lookup'!$G$6:$G$2819,$G2617))</f>
        <v/>
      </c>
      <c r="G2617" t="str">
        <f>IF(2594&lt;=$B$4,IFERROR(MATCH(2594,'EDS Lookup'!$H$6:$H$2819,0),""),"")</f>
        <v/>
      </c>
      <c r="H2617" t="str">
        <f t="shared" si="40"/>
        <v/>
      </c>
    </row>
    <row r="2618" spans="1:8" ht="19.95" customHeight="1">
      <c r="A2618" s="5" t="str">
        <f>IF($G2618="","",INDEX('EDS Lookup'!$D$6:$D$2819,$G2618))</f>
        <v/>
      </c>
      <c r="B2618" s="5" t="str">
        <f>IF($G2618="","",INDEX('EDS Lookup'!$B$6:$B$2819,$G2618))</f>
        <v/>
      </c>
      <c r="C2618" s="17"/>
      <c r="D2618" s="6"/>
      <c r="E2618" s="7" t="str">
        <f>IF($G2618="","",INDEX('EDS Lookup'!$F$6:$F$2819,$G2618))</f>
        <v/>
      </c>
      <c r="F2618" s="8" t="str">
        <f>IF($G2618="","",INDEX('EDS Lookup'!$G$6:$G$2819,$G2618))</f>
        <v/>
      </c>
      <c r="G2618" t="str">
        <f>IF(2595&lt;=$B$4,IFERROR(MATCH(2595,'EDS Lookup'!$H$6:$H$2819,0),""),"")</f>
        <v/>
      </c>
      <c r="H2618" t="str">
        <f t="shared" si="40"/>
        <v/>
      </c>
    </row>
    <row r="2619" spans="1:8" ht="19.95" customHeight="1">
      <c r="A2619" s="5" t="str">
        <f>IF($G2619="","",INDEX('EDS Lookup'!$D$6:$D$2819,$G2619))</f>
        <v/>
      </c>
      <c r="B2619" s="5" t="str">
        <f>IF($G2619="","",INDEX('EDS Lookup'!$B$6:$B$2819,$G2619))</f>
        <v/>
      </c>
      <c r="C2619" s="17"/>
      <c r="D2619" s="6"/>
      <c r="E2619" s="7" t="str">
        <f>IF($G2619="","",INDEX('EDS Lookup'!$F$6:$F$2819,$G2619))</f>
        <v/>
      </c>
      <c r="F2619" s="8" t="str">
        <f>IF($G2619="","",INDEX('EDS Lookup'!$G$6:$G$2819,$G2619))</f>
        <v/>
      </c>
      <c r="G2619" t="str">
        <f>IF(2596&lt;=$B$4,IFERROR(MATCH(2596,'EDS Lookup'!$H$6:$H$2819,0),""),"")</f>
        <v/>
      </c>
      <c r="H2619" t="str">
        <f t="shared" si="40"/>
        <v/>
      </c>
    </row>
    <row r="2620" spans="1:8" ht="19.95" customHeight="1">
      <c r="A2620" s="5" t="str">
        <f>IF($G2620="","",INDEX('EDS Lookup'!$D$6:$D$2819,$G2620))</f>
        <v/>
      </c>
      <c r="B2620" s="5" t="str">
        <f>IF($G2620="","",INDEX('EDS Lookup'!$B$6:$B$2819,$G2620))</f>
        <v/>
      </c>
      <c r="C2620" s="17"/>
      <c r="D2620" s="6"/>
      <c r="E2620" s="7" t="str">
        <f>IF($G2620="","",INDEX('EDS Lookup'!$F$6:$F$2819,$G2620))</f>
        <v/>
      </c>
      <c r="F2620" s="8" t="str">
        <f>IF($G2620="","",INDEX('EDS Lookup'!$G$6:$G$2819,$G2620))</f>
        <v/>
      </c>
      <c r="G2620" t="str">
        <f>IF(2597&lt;=$B$4,IFERROR(MATCH(2597,'EDS Lookup'!$H$6:$H$2819,0),""),"")</f>
        <v/>
      </c>
      <c r="H2620" t="str">
        <f t="shared" si="40"/>
        <v/>
      </c>
    </row>
    <row r="2621" spans="1:8" ht="19.95" customHeight="1">
      <c r="A2621" s="5" t="str">
        <f>IF($G2621="","",INDEX('EDS Lookup'!$D$6:$D$2819,$G2621))</f>
        <v/>
      </c>
      <c r="B2621" s="5" t="str">
        <f>IF($G2621="","",INDEX('EDS Lookup'!$B$6:$B$2819,$G2621))</f>
        <v/>
      </c>
      <c r="C2621" s="17"/>
      <c r="D2621" s="6"/>
      <c r="E2621" s="7" t="str">
        <f>IF($G2621="","",INDEX('EDS Lookup'!$F$6:$F$2819,$G2621))</f>
        <v/>
      </c>
      <c r="F2621" s="8" t="str">
        <f>IF($G2621="","",INDEX('EDS Lookup'!$G$6:$G$2819,$G2621))</f>
        <v/>
      </c>
      <c r="G2621" t="str">
        <f>IF(2598&lt;=$B$4,IFERROR(MATCH(2598,'EDS Lookup'!$H$6:$H$2819,0),""),"")</f>
        <v/>
      </c>
      <c r="H2621" t="str">
        <f t="shared" si="40"/>
        <v/>
      </c>
    </row>
    <row r="2622" spans="1:8" ht="19.95" customHeight="1">
      <c r="A2622" s="5" t="str">
        <f>IF($G2622="","",INDEX('EDS Lookup'!$D$6:$D$2819,$G2622))</f>
        <v/>
      </c>
      <c r="B2622" s="5" t="str">
        <f>IF($G2622="","",INDEX('EDS Lookup'!$B$6:$B$2819,$G2622))</f>
        <v/>
      </c>
      <c r="C2622" s="17"/>
      <c r="D2622" s="6"/>
      <c r="E2622" s="7" t="str">
        <f>IF($G2622="","",INDEX('EDS Lookup'!$F$6:$F$2819,$G2622))</f>
        <v/>
      </c>
      <c r="F2622" s="8" t="str">
        <f>IF($G2622="","",INDEX('EDS Lookup'!$G$6:$G$2819,$G2622))</f>
        <v/>
      </c>
      <c r="G2622" t="str">
        <f>IF(2599&lt;=$B$4,IFERROR(MATCH(2599,'EDS Lookup'!$H$6:$H$2819,0),""),"")</f>
        <v/>
      </c>
      <c r="H2622" t="str">
        <f t="shared" si="40"/>
        <v/>
      </c>
    </row>
    <row r="2623" spans="1:8" ht="19.95" customHeight="1">
      <c r="A2623" s="5" t="str">
        <f>IF($G2623="","",INDEX('EDS Lookup'!$D$6:$D$2819,$G2623))</f>
        <v/>
      </c>
      <c r="B2623" s="5" t="str">
        <f>IF($G2623="","",INDEX('EDS Lookup'!$B$6:$B$2819,$G2623))</f>
        <v/>
      </c>
      <c r="C2623" s="17"/>
      <c r="D2623" s="6"/>
      <c r="E2623" s="7" t="str">
        <f>IF($G2623="","",INDEX('EDS Lookup'!$F$6:$F$2819,$G2623))</f>
        <v/>
      </c>
      <c r="F2623" s="8" t="str">
        <f>IF($G2623="","",INDEX('EDS Lookup'!$G$6:$G$2819,$G2623))</f>
        <v/>
      </c>
      <c r="G2623" t="str">
        <f>IF(2600&lt;=$B$4,IFERROR(MATCH(2600,'EDS Lookup'!$H$6:$H$2819,0),""),"")</f>
        <v/>
      </c>
      <c r="H2623" t="str">
        <f t="shared" si="40"/>
        <v/>
      </c>
    </row>
    <row r="2624" spans="1:8" ht="19.95" customHeight="1">
      <c r="A2624" s="5" t="str">
        <f>IF($G2624="","",INDEX('EDS Lookup'!$D$6:$D$2819,$G2624))</f>
        <v/>
      </c>
      <c r="B2624" s="5" t="str">
        <f>IF($G2624="","",INDEX('EDS Lookup'!$B$6:$B$2819,$G2624))</f>
        <v/>
      </c>
      <c r="C2624" s="17"/>
      <c r="D2624" s="6"/>
      <c r="E2624" s="7" t="str">
        <f>IF($G2624="","",INDEX('EDS Lookup'!$F$6:$F$2819,$G2624))</f>
        <v/>
      </c>
      <c r="F2624" s="8" t="str">
        <f>IF($G2624="","",INDEX('EDS Lookup'!$G$6:$G$2819,$G2624))</f>
        <v/>
      </c>
      <c r="G2624" t="str">
        <f>IF(2601&lt;=$B$4,IFERROR(MATCH(2601,'EDS Lookup'!$H$6:$H$2819,0),""),"")</f>
        <v/>
      </c>
      <c r="H2624" t="str">
        <f t="shared" si="40"/>
        <v/>
      </c>
    </row>
    <row r="2625" spans="1:8" ht="19.95" customHeight="1">
      <c r="A2625" s="5" t="str">
        <f>IF($G2625="","",INDEX('EDS Lookup'!$D$6:$D$2819,$G2625))</f>
        <v/>
      </c>
      <c r="B2625" s="5" t="str">
        <f>IF($G2625="","",INDEX('EDS Lookup'!$B$6:$B$2819,$G2625))</f>
        <v/>
      </c>
      <c r="C2625" s="17"/>
      <c r="D2625" s="6"/>
      <c r="E2625" s="7" t="str">
        <f>IF($G2625="","",INDEX('EDS Lookup'!$F$6:$F$2819,$G2625))</f>
        <v/>
      </c>
      <c r="F2625" s="8" t="str">
        <f>IF($G2625="","",INDEX('EDS Lookup'!$G$6:$G$2819,$G2625))</f>
        <v/>
      </c>
      <c r="G2625" t="str">
        <f>IF(2602&lt;=$B$4,IFERROR(MATCH(2602,'EDS Lookup'!$H$6:$H$2819,0),""),"")</f>
        <v/>
      </c>
      <c r="H2625" t="str">
        <f t="shared" si="40"/>
        <v/>
      </c>
    </row>
    <row r="2626" spans="1:8" ht="19.95" customHeight="1">
      <c r="A2626" s="5" t="str">
        <f>IF($G2626="","",INDEX('EDS Lookup'!$D$6:$D$2819,$G2626))</f>
        <v/>
      </c>
      <c r="B2626" s="5" t="str">
        <f>IF($G2626="","",INDEX('EDS Lookup'!$B$6:$B$2819,$G2626))</f>
        <v/>
      </c>
      <c r="C2626" s="17"/>
      <c r="D2626" s="6"/>
      <c r="E2626" s="7" t="str">
        <f>IF($G2626="","",INDEX('EDS Lookup'!$F$6:$F$2819,$G2626))</f>
        <v/>
      </c>
      <c r="F2626" s="8" t="str">
        <f>IF($G2626="","",INDEX('EDS Lookup'!$G$6:$G$2819,$G2626))</f>
        <v/>
      </c>
      <c r="G2626" t="str">
        <f>IF(2603&lt;=$B$4,IFERROR(MATCH(2603,'EDS Lookup'!$H$6:$H$2819,0),""),"")</f>
        <v/>
      </c>
      <c r="H2626" t="str">
        <f t="shared" si="40"/>
        <v/>
      </c>
    </row>
    <row r="2627" spans="1:8" ht="19.95" customHeight="1">
      <c r="A2627" s="5" t="str">
        <f>IF($G2627="","",INDEX('EDS Lookup'!$D$6:$D$2819,$G2627))</f>
        <v/>
      </c>
      <c r="B2627" s="5" t="str">
        <f>IF($G2627="","",INDEX('EDS Lookup'!$B$6:$B$2819,$G2627))</f>
        <v/>
      </c>
      <c r="C2627" s="17"/>
      <c r="D2627" s="6"/>
      <c r="E2627" s="7" t="str">
        <f>IF($G2627="","",INDEX('EDS Lookup'!$F$6:$F$2819,$G2627))</f>
        <v/>
      </c>
      <c r="F2627" s="8" t="str">
        <f>IF($G2627="","",INDEX('EDS Lookup'!$G$6:$G$2819,$G2627))</f>
        <v/>
      </c>
      <c r="G2627" t="str">
        <f>IF(2604&lt;=$B$4,IFERROR(MATCH(2604,'EDS Lookup'!$H$6:$H$2819,0),""),"")</f>
        <v/>
      </c>
      <c r="H2627" t="str">
        <f t="shared" si="40"/>
        <v/>
      </c>
    </row>
    <row r="2628" spans="1:8" ht="19.95" customHeight="1">
      <c r="A2628" s="5" t="str">
        <f>IF($G2628="","",INDEX('EDS Lookup'!$D$6:$D$2819,$G2628))</f>
        <v/>
      </c>
      <c r="B2628" s="5" t="str">
        <f>IF($G2628="","",INDEX('EDS Lookup'!$B$6:$B$2819,$G2628))</f>
        <v/>
      </c>
      <c r="C2628" s="17"/>
      <c r="D2628" s="6"/>
      <c r="E2628" s="7" t="str">
        <f>IF($G2628="","",INDEX('EDS Lookup'!$F$6:$F$2819,$G2628))</f>
        <v/>
      </c>
      <c r="F2628" s="8" t="str">
        <f>IF($G2628="","",INDEX('EDS Lookup'!$G$6:$G$2819,$G2628))</f>
        <v/>
      </c>
      <c r="G2628" t="str">
        <f>IF(2605&lt;=$B$4,IFERROR(MATCH(2605,'EDS Lookup'!$H$6:$H$2819,0),""),"")</f>
        <v/>
      </c>
      <c r="H2628" t="str">
        <f t="shared" si="40"/>
        <v/>
      </c>
    </row>
    <row r="2629" spans="1:8" ht="19.95" customHeight="1">
      <c r="A2629" s="5" t="str">
        <f>IF($G2629="","",INDEX('EDS Lookup'!$D$6:$D$2819,$G2629))</f>
        <v/>
      </c>
      <c r="B2629" s="5" t="str">
        <f>IF($G2629="","",INDEX('EDS Lookup'!$B$6:$B$2819,$G2629))</f>
        <v/>
      </c>
      <c r="C2629" s="17"/>
      <c r="D2629" s="6"/>
      <c r="E2629" s="7" t="str">
        <f>IF($G2629="","",INDEX('EDS Lookup'!$F$6:$F$2819,$G2629))</f>
        <v/>
      </c>
      <c r="F2629" s="8" t="str">
        <f>IF($G2629="","",INDEX('EDS Lookup'!$G$6:$G$2819,$G2629))</f>
        <v/>
      </c>
      <c r="G2629" t="str">
        <f>IF(2606&lt;=$B$4,IFERROR(MATCH(2606,'EDS Lookup'!$H$6:$H$2819,0),""),"")</f>
        <v/>
      </c>
      <c r="H2629" t="str">
        <f t="shared" si="40"/>
        <v/>
      </c>
    </row>
    <row r="2630" spans="1:8" ht="19.95" customHeight="1">
      <c r="A2630" s="5" t="str">
        <f>IF($G2630="","",INDEX('EDS Lookup'!$D$6:$D$2819,$G2630))</f>
        <v/>
      </c>
      <c r="B2630" s="5" t="str">
        <f>IF($G2630="","",INDEX('EDS Lookup'!$B$6:$B$2819,$G2630))</f>
        <v/>
      </c>
      <c r="C2630" s="17"/>
      <c r="D2630" s="6"/>
      <c r="E2630" s="7" t="str">
        <f>IF($G2630="","",INDEX('EDS Lookup'!$F$6:$F$2819,$G2630))</f>
        <v/>
      </c>
      <c r="F2630" s="8" t="str">
        <f>IF($G2630="","",INDEX('EDS Lookup'!$G$6:$G$2819,$G2630))</f>
        <v/>
      </c>
      <c r="G2630" t="str">
        <f>IF(2607&lt;=$B$4,IFERROR(MATCH(2607,'EDS Lookup'!$H$6:$H$2819,0),""),"")</f>
        <v/>
      </c>
      <c r="H2630" t="str">
        <f t="shared" si="40"/>
        <v/>
      </c>
    </row>
    <row r="2631" spans="1:8" ht="19.95" customHeight="1">
      <c r="A2631" s="5" t="str">
        <f>IF($G2631="","",INDEX('EDS Lookup'!$D$6:$D$2819,$G2631))</f>
        <v/>
      </c>
      <c r="B2631" s="5" t="str">
        <f>IF($G2631="","",INDEX('EDS Lookup'!$B$6:$B$2819,$G2631))</f>
        <v/>
      </c>
      <c r="C2631" s="17"/>
      <c r="D2631" s="6"/>
      <c r="E2631" s="7" t="str">
        <f>IF($G2631="","",INDEX('EDS Lookup'!$F$6:$F$2819,$G2631))</f>
        <v/>
      </c>
      <c r="F2631" s="8" t="str">
        <f>IF($G2631="","",INDEX('EDS Lookup'!$G$6:$G$2819,$G2631))</f>
        <v/>
      </c>
      <c r="G2631" t="str">
        <f>IF(2608&lt;=$B$4,IFERROR(MATCH(2608,'EDS Lookup'!$H$6:$H$2819,0),""),"")</f>
        <v/>
      </c>
      <c r="H2631" t="str">
        <f t="shared" si="40"/>
        <v/>
      </c>
    </row>
    <row r="2632" spans="1:8" ht="19.95" customHeight="1">
      <c r="A2632" s="5" t="str">
        <f>IF($G2632="","",INDEX('EDS Lookup'!$D$6:$D$2819,$G2632))</f>
        <v/>
      </c>
      <c r="B2632" s="5" t="str">
        <f>IF($G2632="","",INDEX('EDS Lookup'!$B$6:$B$2819,$G2632))</f>
        <v/>
      </c>
      <c r="C2632" s="17"/>
      <c r="D2632" s="6"/>
      <c r="E2632" s="7" t="str">
        <f>IF($G2632="","",INDEX('EDS Lookup'!$F$6:$F$2819,$G2632))</f>
        <v/>
      </c>
      <c r="F2632" s="8" t="str">
        <f>IF($G2632="","",INDEX('EDS Lookup'!$G$6:$G$2819,$G2632))</f>
        <v/>
      </c>
      <c r="G2632" t="str">
        <f>IF(2609&lt;=$B$4,IFERROR(MATCH(2609,'EDS Lookup'!$H$6:$H$2819,0),""),"")</f>
        <v/>
      </c>
      <c r="H2632" t="str">
        <f t="shared" si="40"/>
        <v/>
      </c>
    </row>
    <row r="2633" spans="1:8" ht="19.95" customHeight="1">
      <c r="A2633" s="5" t="str">
        <f>IF($G2633="","",INDEX('EDS Lookup'!$D$6:$D$2819,$G2633))</f>
        <v/>
      </c>
      <c r="B2633" s="5" t="str">
        <f>IF($G2633="","",INDEX('EDS Lookup'!$B$6:$B$2819,$G2633))</f>
        <v/>
      </c>
      <c r="C2633" s="17"/>
      <c r="D2633" s="6"/>
      <c r="E2633" s="7" t="str">
        <f>IF($G2633="","",INDEX('EDS Lookup'!$F$6:$F$2819,$G2633))</f>
        <v/>
      </c>
      <c r="F2633" s="8" t="str">
        <f>IF($G2633="","",INDEX('EDS Lookup'!$G$6:$G$2819,$G2633))</f>
        <v/>
      </c>
      <c r="G2633" t="str">
        <f>IF(2610&lt;=$B$4,IFERROR(MATCH(2610,'EDS Lookup'!$H$6:$H$2819,0),""),"")</f>
        <v/>
      </c>
      <c r="H2633" t="str">
        <f t="shared" si="40"/>
        <v/>
      </c>
    </row>
    <row r="2634" spans="1:8" ht="19.95" customHeight="1">
      <c r="A2634" s="5" t="str">
        <f>IF($G2634="","",INDEX('EDS Lookup'!$D$6:$D$2819,$G2634))</f>
        <v/>
      </c>
      <c r="B2634" s="5" t="str">
        <f>IF($G2634="","",INDEX('EDS Lookup'!$B$6:$B$2819,$G2634))</f>
        <v/>
      </c>
      <c r="C2634" s="17"/>
      <c r="D2634" s="6"/>
      <c r="E2634" s="7" t="str">
        <f>IF($G2634="","",INDEX('EDS Lookup'!$F$6:$F$2819,$G2634))</f>
        <v/>
      </c>
      <c r="F2634" s="8" t="str">
        <f>IF($G2634="","",INDEX('EDS Lookup'!$G$6:$G$2819,$G2634))</f>
        <v/>
      </c>
      <c r="G2634" t="str">
        <f>IF(2611&lt;=$B$4,IFERROR(MATCH(2611,'EDS Lookup'!$H$6:$H$2819,0),""),"")</f>
        <v/>
      </c>
      <c r="H2634" t="str">
        <f t="shared" si="40"/>
        <v/>
      </c>
    </row>
    <row r="2635" spans="1:8" ht="19.95" customHeight="1">
      <c r="A2635" s="5" t="str">
        <f>IF($G2635="","",INDEX('EDS Lookup'!$D$6:$D$2819,$G2635))</f>
        <v/>
      </c>
      <c r="B2635" s="5" t="str">
        <f>IF($G2635="","",INDEX('EDS Lookup'!$B$6:$B$2819,$G2635))</f>
        <v/>
      </c>
      <c r="C2635" s="17"/>
      <c r="D2635" s="6"/>
      <c r="E2635" s="7" t="str">
        <f>IF($G2635="","",INDEX('EDS Lookup'!$F$6:$F$2819,$G2635))</f>
        <v/>
      </c>
      <c r="F2635" s="8" t="str">
        <f>IF($G2635="","",INDEX('EDS Lookup'!$G$6:$G$2819,$G2635))</f>
        <v/>
      </c>
      <c r="G2635" t="str">
        <f>IF(2612&lt;=$B$4,IFERROR(MATCH(2612,'EDS Lookup'!$H$6:$H$2819,0),""),"")</f>
        <v/>
      </c>
      <c r="H2635" t="str">
        <f t="shared" si="40"/>
        <v/>
      </c>
    </row>
    <row r="2636" spans="1:8" ht="19.95" customHeight="1">
      <c r="A2636" s="5" t="str">
        <f>IF($G2636="","",INDEX('EDS Lookup'!$D$6:$D$2819,$G2636))</f>
        <v/>
      </c>
      <c r="B2636" s="5" t="str">
        <f>IF($G2636="","",INDEX('EDS Lookup'!$B$6:$B$2819,$G2636))</f>
        <v/>
      </c>
      <c r="C2636" s="17"/>
      <c r="D2636" s="6"/>
      <c r="E2636" s="7" t="str">
        <f>IF($G2636="","",INDEX('EDS Lookup'!$F$6:$F$2819,$G2636))</f>
        <v/>
      </c>
      <c r="F2636" s="8" t="str">
        <f>IF($G2636="","",INDEX('EDS Lookup'!$G$6:$G$2819,$G2636))</f>
        <v/>
      </c>
      <c r="G2636" t="str">
        <f>IF(2613&lt;=$B$4,IFERROR(MATCH(2613,'EDS Lookup'!$H$6:$H$2819,0),""),"")</f>
        <v/>
      </c>
      <c r="H2636" t="str">
        <f t="shared" si="40"/>
        <v/>
      </c>
    </row>
    <row r="2637" spans="1:8" ht="19.95" customHeight="1">
      <c r="A2637" s="5" t="str">
        <f>IF($G2637="","",INDEX('EDS Lookup'!$D$6:$D$2819,$G2637))</f>
        <v/>
      </c>
      <c r="B2637" s="5" t="str">
        <f>IF($G2637="","",INDEX('EDS Lookup'!$B$6:$B$2819,$G2637))</f>
        <v/>
      </c>
      <c r="C2637" s="17"/>
      <c r="D2637" s="6"/>
      <c r="E2637" s="7" t="str">
        <f>IF($G2637="","",INDEX('EDS Lookup'!$F$6:$F$2819,$G2637))</f>
        <v/>
      </c>
      <c r="F2637" s="8" t="str">
        <f>IF($G2637="","",INDEX('EDS Lookup'!$G$6:$G$2819,$G2637))</f>
        <v/>
      </c>
      <c r="G2637" t="str">
        <f>IF(2614&lt;=$B$4,IFERROR(MATCH(2614,'EDS Lookup'!$H$6:$H$2819,0),""),"")</f>
        <v/>
      </c>
      <c r="H2637" t="str">
        <f t="shared" si="40"/>
        <v/>
      </c>
    </row>
    <row r="2638" spans="1:8" ht="19.95" customHeight="1">
      <c r="A2638" s="5" t="str">
        <f>IF($G2638="","",INDEX('EDS Lookup'!$D$6:$D$2819,$G2638))</f>
        <v/>
      </c>
      <c r="B2638" s="5" t="str">
        <f>IF($G2638="","",INDEX('EDS Lookup'!$B$6:$B$2819,$G2638))</f>
        <v/>
      </c>
      <c r="C2638" s="17"/>
      <c r="D2638" s="6"/>
      <c r="E2638" s="7" t="str">
        <f>IF($G2638="","",INDEX('EDS Lookup'!$F$6:$F$2819,$G2638))</f>
        <v/>
      </c>
      <c r="F2638" s="8" t="str">
        <f>IF($G2638="","",INDEX('EDS Lookup'!$G$6:$G$2819,$G2638))</f>
        <v/>
      </c>
      <c r="G2638" t="str">
        <f>IF(2615&lt;=$B$4,IFERROR(MATCH(2615,'EDS Lookup'!$H$6:$H$2819,0),""),"")</f>
        <v/>
      </c>
      <c r="H2638" t="str">
        <f t="shared" si="40"/>
        <v/>
      </c>
    </row>
    <row r="2639" spans="1:8" ht="19.95" customHeight="1">
      <c r="A2639" s="5" t="str">
        <f>IF($G2639="","",INDEX('EDS Lookup'!$D$6:$D$2819,$G2639))</f>
        <v/>
      </c>
      <c r="B2639" s="5" t="str">
        <f>IF($G2639="","",INDEX('EDS Lookup'!$B$6:$B$2819,$G2639))</f>
        <v/>
      </c>
      <c r="C2639" s="17"/>
      <c r="D2639" s="6"/>
      <c r="E2639" s="7" t="str">
        <f>IF($G2639="","",INDEX('EDS Lookup'!$F$6:$F$2819,$G2639))</f>
        <v/>
      </c>
      <c r="F2639" s="8" t="str">
        <f>IF($G2639="","",INDEX('EDS Lookup'!$G$6:$G$2819,$G2639))</f>
        <v/>
      </c>
      <c r="G2639" t="str">
        <f>IF(2616&lt;=$B$4,IFERROR(MATCH(2616,'EDS Lookup'!$H$6:$H$2819,0),""),"")</f>
        <v/>
      </c>
      <c r="H2639" t="str">
        <f t="shared" si="40"/>
        <v/>
      </c>
    </row>
    <row r="2640" spans="1:8" ht="19.95" customHeight="1">
      <c r="A2640" s="5" t="str">
        <f>IF($G2640="","",INDEX('EDS Lookup'!$D$6:$D$2819,$G2640))</f>
        <v/>
      </c>
      <c r="B2640" s="5" t="str">
        <f>IF($G2640="","",INDEX('EDS Lookup'!$B$6:$B$2819,$G2640))</f>
        <v/>
      </c>
      <c r="C2640" s="17"/>
      <c r="D2640" s="6"/>
      <c r="E2640" s="7" t="str">
        <f>IF($G2640="","",INDEX('EDS Lookup'!$F$6:$F$2819,$G2640))</f>
        <v/>
      </c>
      <c r="F2640" s="8" t="str">
        <f>IF($G2640="","",INDEX('EDS Lookup'!$G$6:$G$2819,$G2640))</f>
        <v/>
      </c>
      <c r="G2640" t="str">
        <f>IF(2617&lt;=$B$4,IFERROR(MATCH(2617,'EDS Lookup'!$H$6:$H$2819,0),""),"")</f>
        <v/>
      </c>
      <c r="H2640" t="str">
        <f t="shared" si="40"/>
        <v/>
      </c>
    </row>
    <row r="2641" spans="1:8" ht="19.95" customHeight="1">
      <c r="A2641" s="5" t="str">
        <f>IF($G2641="","",INDEX('EDS Lookup'!$D$6:$D$2819,$G2641))</f>
        <v/>
      </c>
      <c r="B2641" s="5" t="str">
        <f>IF($G2641="","",INDEX('EDS Lookup'!$B$6:$B$2819,$G2641))</f>
        <v/>
      </c>
      <c r="C2641" s="17"/>
      <c r="D2641" s="6"/>
      <c r="E2641" s="7" t="str">
        <f>IF($G2641="","",INDEX('EDS Lookup'!$F$6:$F$2819,$G2641))</f>
        <v/>
      </c>
      <c r="F2641" s="8" t="str">
        <f>IF($G2641="","",INDEX('EDS Lookup'!$G$6:$G$2819,$G2641))</f>
        <v/>
      </c>
      <c r="G2641" t="str">
        <f>IF(2618&lt;=$B$4,IFERROR(MATCH(2618,'EDS Lookup'!$H$6:$H$2819,0),""),"")</f>
        <v/>
      </c>
      <c r="H2641" t="str">
        <f t="shared" si="40"/>
        <v/>
      </c>
    </row>
    <row r="2642" spans="1:8" ht="19.95" customHeight="1">
      <c r="A2642" s="5" t="str">
        <f>IF($G2642="","",INDEX('EDS Lookup'!$D$6:$D$2819,$G2642))</f>
        <v/>
      </c>
      <c r="B2642" s="5" t="str">
        <f>IF($G2642="","",INDEX('EDS Lookup'!$B$6:$B$2819,$G2642))</f>
        <v/>
      </c>
      <c r="C2642" s="17"/>
      <c r="D2642" s="6"/>
      <c r="E2642" s="7" t="str">
        <f>IF($G2642="","",INDEX('EDS Lookup'!$F$6:$F$2819,$G2642))</f>
        <v/>
      </c>
      <c r="F2642" s="8" t="str">
        <f>IF($G2642="","",INDEX('EDS Lookup'!$G$6:$G$2819,$G2642))</f>
        <v/>
      </c>
      <c r="G2642" t="str">
        <f>IF(2619&lt;=$B$4,IFERROR(MATCH(2619,'EDS Lookup'!$H$6:$H$2819,0),""),"")</f>
        <v/>
      </c>
      <c r="H2642" t="str">
        <f t="shared" si="40"/>
        <v/>
      </c>
    </row>
    <row r="2643" spans="1:8" ht="19.95" customHeight="1">
      <c r="A2643" s="5" t="str">
        <f>IF($G2643="","",INDEX('EDS Lookup'!$D$6:$D$2819,$G2643))</f>
        <v/>
      </c>
      <c r="B2643" s="5" t="str">
        <f>IF($G2643="","",INDEX('EDS Lookup'!$B$6:$B$2819,$G2643))</f>
        <v/>
      </c>
      <c r="C2643" s="17"/>
      <c r="D2643" s="6"/>
      <c r="E2643" s="7" t="str">
        <f>IF($G2643="","",INDEX('EDS Lookup'!$F$6:$F$2819,$G2643))</f>
        <v/>
      </c>
      <c r="F2643" s="8" t="str">
        <f>IF($G2643="","",INDEX('EDS Lookup'!$G$6:$G$2819,$G2643))</f>
        <v/>
      </c>
      <c r="G2643" t="str">
        <f>IF(2620&lt;=$B$4,IFERROR(MATCH(2620,'EDS Lookup'!$H$6:$H$2819,0),""),"")</f>
        <v/>
      </c>
      <c r="H2643" t="str">
        <f t="shared" si="40"/>
        <v/>
      </c>
    </row>
    <row r="2644" spans="1:8" ht="19.95" customHeight="1">
      <c r="A2644" s="5" t="str">
        <f>IF($G2644="","",INDEX('EDS Lookup'!$D$6:$D$2819,$G2644))</f>
        <v/>
      </c>
      <c r="B2644" s="5" t="str">
        <f>IF($G2644="","",INDEX('EDS Lookup'!$B$6:$B$2819,$G2644))</f>
        <v/>
      </c>
      <c r="C2644" s="17"/>
      <c r="D2644" s="6"/>
      <c r="E2644" s="7" t="str">
        <f>IF($G2644="","",INDEX('EDS Lookup'!$F$6:$F$2819,$G2644))</f>
        <v/>
      </c>
      <c r="F2644" s="8" t="str">
        <f>IF($G2644="","",INDEX('EDS Lookup'!$G$6:$G$2819,$G2644))</f>
        <v/>
      </c>
      <c r="G2644" t="str">
        <f>IF(2621&lt;=$B$4,IFERROR(MATCH(2621,'EDS Lookup'!$H$6:$H$2819,0),""),"")</f>
        <v/>
      </c>
      <c r="H2644" t="str">
        <f t="shared" si="40"/>
        <v/>
      </c>
    </row>
    <row r="2645" spans="1:8" ht="19.95" customHeight="1">
      <c r="A2645" s="5" t="str">
        <f>IF($G2645="","",INDEX('EDS Lookup'!$D$6:$D$2819,$G2645))</f>
        <v/>
      </c>
      <c r="B2645" s="5" t="str">
        <f>IF($G2645="","",INDEX('EDS Lookup'!$B$6:$B$2819,$G2645))</f>
        <v/>
      </c>
      <c r="C2645" s="17"/>
      <c r="D2645" s="6"/>
      <c r="E2645" s="7" t="str">
        <f>IF($G2645="","",INDEX('EDS Lookup'!$F$6:$F$2819,$G2645))</f>
        <v/>
      </c>
      <c r="F2645" s="8" t="str">
        <f>IF($G2645="","",INDEX('EDS Lookup'!$G$6:$G$2819,$G2645))</f>
        <v/>
      </c>
      <c r="G2645" t="str">
        <f>IF(2622&lt;=$B$4,IFERROR(MATCH(2622,'EDS Lookup'!$H$6:$H$2819,0),""),"")</f>
        <v/>
      </c>
      <c r="H2645" t="str">
        <f t="shared" si="40"/>
        <v/>
      </c>
    </row>
    <row r="2646" spans="1:8" ht="19.95" customHeight="1">
      <c r="A2646" s="5" t="str">
        <f>IF($G2646="","",INDEX('EDS Lookup'!$D$6:$D$2819,$G2646))</f>
        <v/>
      </c>
      <c r="B2646" s="5" t="str">
        <f>IF($G2646="","",INDEX('EDS Lookup'!$B$6:$B$2819,$G2646))</f>
        <v/>
      </c>
      <c r="C2646" s="17"/>
      <c r="D2646" s="6"/>
      <c r="E2646" s="7" t="str">
        <f>IF($G2646="","",INDEX('EDS Lookup'!$F$6:$F$2819,$G2646))</f>
        <v/>
      </c>
      <c r="F2646" s="8" t="str">
        <f>IF($G2646="","",INDEX('EDS Lookup'!$G$6:$G$2819,$G2646))</f>
        <v/>
      </c>
      <c r="G2646" t="str">
        <f>IF(2623&lt;=$B$4,IFERROR(MATCH(2623,'EDS Lookup'!$H$6:$H$2819,0),""),"")</f>
        <v/>
      </c>
      <c r="H2646" t="str">
        <f t="shared" si="40"/>
        <v/>
      </c>
    </row>
    <row r="2647" spans="1:8" ht="19.95" customHeight="1">
      <c r="A2647" s="5" t="str">
        <f>IF($G2647="","",INDEX('EDS Lookup'!$D$6:$D$2819,$G2647))</f>
        <v/>
      </c>
      <c r="B2647" s="5" t="str">
        <f>IF($G2647="","",INDEX('EDS Lookup'!$B$6:$B$2819,$G2647))</f>
        <v/>
      </c>
      <c r="C2647" s="17"/>
      <c r="D2647" s="6"/>
      <c r="E2647" s="7" t="str">
        <f>IF($G2647="","",INDEX('EDS Lookup'!$F$6:$F$2819,$G2647))</f>
        <v/>
      </c>
      <c r="F2647" s="8" t="str">
        <f>IF($G2647="","",INDEX('EDS Lookup'!$G$6:$G$2819,$G2647))</f>
        <v/>
      </c>
      <c r="G2647" t="str">
        <f>IF(2624&lt;=$B$4,IFERROR(MATCH(2624,'EDS Lookup'!$H$6:$H$2819,0),""),"")</f>
        <v/>
      </c>
      <c r="H2647" t="str">
        <f t="shared" si="40"/>
        <v/>
      </c>
    </row>
    <row r="2648" spans="1:8" ht="19.95" customHeight="1">
      <c r="A2648" s="5" t="str">
        <f>IF($G2648="","",INDEX('EDS Lookup'!$D$6:$D$2819,$G2648))</f>
        <v/>
      </c>
      <c r="B2648" s="5" t="str">
        <f>IF($G2648="","",INDEX('EDS Lookup'!$B$6:$B$2819,$G2648))</f>
        <v/>
      </c>
      <c r="C2648" s="17"/>
      <c r="D2648" s="6"/>
      <c r="E2648" s="7" t="str">
        <f>IF($G2648="","",INDEX('EDS Lookup'!$F$6:$F$2819,$G2648))</f>
        <v/>
      </c>
      <c r="F2648" s="8" t="str">
        <f>IF($G2648="","",INDEX('EDS Lookup'!$G$6:$G$2819,$G2648))</f>
        <v/>
      </c>
      <c r="G2648" t="str">
        <f>IF(2625&lt;=$B$4,IFERROR(MATCH(2625,'EDS Lookup'!$H$6:$H$2819,0),""),"")</f>
        <v/>
      </c>
      <c r="H2648" t="str">
        <f t="shared" ref="H2648:H2711" si="41">IF(F2648="&lt;5",5,IF(F2648="&gt;95",95,IF(ISNUMBER(F2648),F2648,"")))</f>
        <v/>
      </c>
    </row>
    <row r="2649" spans="1:8" ht="19.95" customHeight="1">
      <c r="A2649" s="5" t="str">
        <f>IF($G2649="","",INDEX('EDS Lookup'!$D$6:$D$2819,$G2649))</f>
        <v/>
      </c>
      <c r="B2649" s="5" t="str">
        <f>IF($G2649="","",INDEX('EDS Lookup'!$B$6:$B$2819,$G2649))</f>
        <v/>
      </c>
      <c r="C2649" s="17"/>
      <c r="D2649" s="6"/>
      <c r="E2649" s="7" t="str">
        <f>IF($G2649="","",INDEX('EDS Lookup'!$F$6:$F$2819,$G2649))</f>
        <v/>
      </c>
      <c r="F2649" s="8" t="str">
        <f>IF($G2649="","",INDEX('EDS Lookup'!$G$6:$G$2819,$G2649))</f>
        <v/>
      </c>
      <c r="G2649" t="str">
        <f>IF(2626&lt;=$B$4,IFERROR(MATCH(2626,'EDS Lookup'!$H$6:$H$2819,0),""),"")</f>
        <v/>
      </c>
      <c r="H2649" t="str">
        <f t="shared" si="41"/>
        <v/>
      </c>
    </row>
    <row r="2650" spans="1:8" ht="19.95" customHeight="1">
      <c r="A2650" s="5" t="str">
        <f>IF($G2650="","",INDEX('EDS Lookup'!$D$6:$D$2819,$G2650))</f>
        <v/>
      </c>
      <c r="B2650" s="5" t="str">
        <f>IF($G2650="","",INDEX('EDS Lookup'!$B$6:$B$2819,$G2650))</f>
        <v/>
      </c>
      <c r="C2650" s="17"/>
      <c r="D2650" s="6"/>
      <c r="E2650" s="7" t="str">
        <f>IF($G2650="","",INDEX('EDS Lookup'!$F$6:$F$2819,$G2650))</f>
        <v/>
      </c>
      <c r="F2650" s="8" t="str">
        <f>IF($G2650="","",INDEX('EDS Lookup'!$G$6:$G$2819,$G2650))</f>
        <v/>
      </c>
      <c r="G2650" t="str">
        <f>IF(2627&lt;=$B$4,IFERROR(MATCH(2627,'EDS Lookup'!$H$6:$H$2819,0),""),"")</f>
        <v/>
      </c>
      <c r="H2650" t="str">
        <f t="shared" si="41"/>
        <v/>
      </c>
    </row>
    <row r="2651" spans="1:8" ht="19.95" customHeight="1">
      <c r="A2651" s="5" t="str">
        <f>IF($G2651="","",INDEX('EDS Lookup'!$D$6:$D$2819,$G2651))</f>
        <v/>
      </c>
      <c r="B2651" s="5" t="str">
        <f>IF($G2651="","",INDEX('EDS Lookup'!$B$6:$B$2819,$G2651))</f>
        <v/>
      </c>
      <c r="C2651" s="17"/>
      <c r="D2651" s="6"/>
      <c r="E2651" s="7" t="str">
        <f>IF($G2651="","",INDEX('EDS Lookup'!$F$6:$F$2819,$G2651))</f>
        <v/>
      </c>
      <c r="F2651" s="8" t="str">
        <f>IF($G2651="","",INDEX('EDS Lookup'!$G$6:$G$2819,$G2651))</f>
        <v/>
      </c>
      <c r="G2651" t="str">
        <f>IF(2628&lt;=$B$4,IFERROR(MATCH(2628,'EDS Lookup'!$H$6:$H$2819,0),""),"")</f>
        <v/>
      </c>
      <c r="H2651" t="str">
        <f t="shared" si="41"/>
        <v/>
      </c>
    </row>
    <row r="2652" spans="1:8" ht="19.95" customHeight="1">
      <c r="A2652" s="5" t="str">
        <f>IF($G2652="","",INDEX('EDS Lookup'!$D$6:$D$2819,$G2652))</f>
        <v/>
      </c>
      <c r="B2652" s="5" t="str">
        <f>IF($G2652="","",INDEX('EDS Lookup'!$B$6:$B$2819,$G2652))</f>
        <v/>
      </c>
      <c r="C2652" s="17"/>
      <c r="D2652" s="6"/>
      <c r="E2652" s="7" t="str">
        <f>IF($G2652="","",INDEX('EDS Lookup'!$F$6:$F$2819,$G2652))</f>
        <v/>
      </c>
      <c r="F2652" s="8" t="str">
        <f>IF($G2652="","",INDEX('EDS Lookup'!$G$6:$G$2819,$G2652))</f>
        <v/>
      </c>
      <c r="G2652" t="str">
        <f>IF(2629&lt;=$B$4,IFERROR(MATCH(2629,'EDS Lookup'!$H$6:$H$2819,0),""),"")</f>
        <v/>
      </c>
      <c r="H2652" t="str">
        <f t="shared" si="41"/>
        <v/>
      </c>
    </row>
    <row r="2653" spans="1:8" ht="19.95" customHeight="1">
      <c r="A2653" s="5" t="str">
        <f>IF($G2653="","",INDEX('EDS Lookup'!$D$6:$D$2819,$G2653))</f>
        <v/>
      </c>
      <c r="B2653" s="5" t="str">
        <f>IF($G2653="","",INDEX('EDS Lookup'!$B$6:$B$2819,$G2653))</f>
        <v/>
      </c>
      <c r="C2653" s="17"/>
      <c r="D2653" s="6"/>
      <c r="E2653" s="7" t="str">
        <f>IF($G2653="","",INDEX('EDS Lookup'!$F$6:$F$2819,$G2653))</f>
        <v/>
      </c>
      <c r="F2653" s="8" t="str">
        <f>IF($G2653="","",INDEX('EDS Lookup'!$G$6:$G$2819,$G2653))</f>
        <v/>
      </c>
      <c r="G2653" t="str">
        <f>IF(2630&lt;=$B$4,IFERROR(MATCH(2630,'EDS Lookup'!$H$6:$H$2819,0),""),"")</f>
        <v/>
      </c>
      <c r="H2653" t="str">
        <f t="shared" si="41"/>
        <v/>
      </c>
    </row>
    <row r="2654" spans="1:8" ht="19.95" customHeight="1">
      <c r="A2654" s="5" t="str">
        <f>IF($G2654="","",INDEX('EDS Lookup'!$D$6:$D$2819,$G2654))</f>
        <v/>
      </c>
      <c r="B2654" s="5" t="str">
        <f>IF($G2654="","",INDEX('EDS Lookup'!$B$6:$B$2819,$G2654))</f>
        <v/>
      </c>
      <c r="C2654" s="17"/>
      <c r="D2654" s="6"/>
      <c r="E2654" s="7" t="str">
        <f>IF($G2654="","",INDEX('EDS Lookup'!$F$6:$F$2819,$G2654))</f>
        <v/>
      </c>
      <c r="F2654" s="8" t="str">
        <f>IF($G2654="","",INDEX('EDS Lookup'!$G$6:$G$2819,$G2654))</f>
        <v/>
      </c>
      <c r="G2654" t="str">
        <f>IF(2631&lt;=$B$4,IFERROR(MATCH(2631,'EDS Lookup'!$H$6:$H$2819,0),""),"")</f>
        <v/>
      </c>
      <c r="H2654" t="str">
        <f t="shared" si="41"/>
        <v/>
      </c>
    </row>
    <row r="2655" spans="1:8" ht="19.95" customHeight="1">
      <c r="A2655" s="5" t="str">
        <f>IF($G2655="","",INDEX('EDS Lookup'!$D$6:$D$2819,$G2655))</f>
        <v/>
      </c>
      <c r="B2655" s="5" t="str">
        <f>IF($G2655="","",INDEX('EDS Lookup'!$B$6:$B$2819,$G2655))</f>
        <v/>
      </c>
      <c r="C2655" s="17"/>
      <c r="D2655" s="6"/>
      <c r="E2655" s="7" t="str">
        <f>IF($G2655="","",INDEX('EDS Lookup'!$F$6:$F$2819,$G2655))</f>
        <v/>
      </c>
      <c r="F2655" s="8" t="str">
        <f>IF($G2655="","",INDEX('EDS Lookup'!$G$6:$G$2819,$G2655))</f>
        <v/>
      </c>
      <c r="G2655" t="str">
        <f>IF(2632&lt;=$B$4,IFERROR(MATCH(2632,'EDS Lookup'!$H$6:$H$2819,0),""),"")</f>
        <v/>
      </c>
      <c r="H2655" t="str">
        <f t="shared" si="41"/>
        <v/>
      </c>
    </row>
    <row r="2656" spans="1:8" ht="19.95" customHeight="1">
      <c r="A2656" s="5" t="str">
        <f>IF($G2656="","",INDEX('EDS Lookup'!$D$6:$D$2819,$G2656))</f>
        <v/>
      </c>
      <c r="B2656" s="5" t="str">
        <f>IF($G2656="","",INDEX('EDS Lookup'!$B$6:$B$2819,$G2656))</f>
        <v/>
      </c>
      <c r="C2656" s="17"/>
      <c r="D2656" s="6"/>
      <c r="E2656" s="7" t="str">
        <f>IF($G2656="","",INDEX('EDS Lookup'!$F$6:$F$2819,$G2656))</f>
        <v/>
      </c>
      <c r="F2656" s="8" t="str">
        <f>IF($G2656="","",INDEX('EDS Lookup'!$G$6:$G$2819,$G2656))</f>
        <v/>
      </c>
      <c r="G2656" t="str">
        <f>IF(2633&lt;=$B$4,IFERROR(MATCH(2633,'EDS Lookup'!$H$6:$H$2819,0),""),"")</f>
        <v/>
      </c>
      <c r="H2656" t="str">
        <f t="shared" si="41"/>
        <v/>
      </c>
    </row>
    <row r="2657" spans="1:8" ht="19.95" customHeight="1">
      <c r="A2657" s="5" t="str">
        <f>IF($G2657="","",INDEX('EDS Lookup'!$D$6:$D$2819,$G2657))</f>
        <v/>
      </c>
      <c r="B2657" s="5" t="str">
        <f>IF($G2657="","",INDEX('EDS Lookup'!$B$6:$B$2819,$G2657))</f>
        <v/>
      </c>
      <c r="C2657" s="17"/>
      <c r="D2657" s="6"/>
      <c r="E2657" s="7" t="str">
        <f>IF($G2657="","",INDEX('EDS Lookup'!$F$6:$F$2819,$G2657))</f>
        <v/>
      </c>
      <c r="F2657" s="8" t="str">
        <f>IF($G2657="","",INDEX('EDS Lookup'!$G$6:$G$2819,$G2657))</f>
        <v/>
      </c>
      <c r="G2657" t="str">
        <f>IF(2634&lt;=$B$4,IFERROR(MATCH(2634,'EDS Lookup'!$H$6:$H$2819,0),""),"")</f>
        <v/>
      </c>
      <c r="H2657" t="str">
        <f t="shared" si="41"/>
        <v/>
      </c>
    </row>
    <row r="2658" spans="1:8" ht="19.95" customHeight="1">
      <c r="A2658" s="5" t="str">
        <f>IF($G2658="","",INDEX('EDS Lookup'!$D$6:$D$2819,$G2658))</f>
        <v/>
      </c>
      <c r="B2658" s="5" t="str">
        <f>IF($G2658="","",INDEX('EDS Lookup'!$B$6:$B$2819,$G2658))</f>
        <v/>
      </c>
      <c r="C2658" s="17"/>
      <c r="D2658" s="6"/>
      <c r="E2658" s="7" t="str">
        <f>IF($G2658="","",INDEX('EDS Lookup'!$F$6:$F$2819,$G2658))</f>
        <v/>
      </c>
      <c r="F2658" s="8" t="str">
        <f>IF($G2658="","",INDEX('EDS Lookup'!$G$6:$G$2819,$G2658))</f>
        <v/>
      </c>
      <c r="G2658" t="str">
        <f>IF(2635&lt;=$B$4,IFERROR(MATCH(2635,'EDS Lookup'!$H$6:$H$2819,0),""),"")</f>
        <v/>
      </c>
      <c r="H2658" t="str">
        <f t="shared" si="41"/>
        <v/>
      </c>
    </row>
    <row r="2659" spans="1:8" ht="19.95" customHeight="1">
      <c r="A2659" s="5" t="str">
        <f>IF($G2659="","",INDEX('EDS Lookup'!$D$6:$D$2819,$G2659))</f>
        <v/>
      </c>
      <c r="B2659" s="5" t="str">
        <f>IF($G2659="","",INDEX('EDS Lookup'!$B$6:$B$2819,$G2659))</f>
        <v/>
      </c>
      <c r="C2659" s="17"/>
      <c r="D2659" s="6"/>
      <c r="E2659" s="7" t="str">
        <f>IF($G2659="","",INDEX('EDS Lookup'!$F$6:$F$2819,$G2659))</f>
        <v/>
      </c>
      <c r="F2659" s="8" t="str">
        <f>IF($G2659="","",INDEX('EDS Lookup'!$G$6:$G$2819,$G2659))</f>
        <v/>
      </c>
      <c r="G2659" t="str">
        <f>IF(2636&lt;=$B$4,IFERROR(MATCH(2636,'EDS Lookup'!$H$6:$H$2819,0),""),"")</f>
        <v/>
      </c>
      <c r="H2659" t="str">
        <f t="shared" si="41"/>
        <v/>
      </c>
    </row>
    <row r="2660" spans="1:8" ht="19.95" customHeight="1">
      <c r="A2660" s="5" t="str">
        <f>IF($G2660="","",INDEX('EDS Lookup'!$D$6:$D$2819,$G2660))</f>
        <v/>
      </c>
      <c r="B2660" s="5" t="str">
        <f>IF($G2660="","",INDEX('EDS Lookup'!$B$6:$B$2819,$G2660))</f>
        <v/>
      </c>
      <c r="C2660" s="17"/>
      <c r="D2660" s="6"/>
      <c r="E2660" s="7" t="str">
        <f>IF($G2660="","",INDEX('EDS Lookup'!$F$6:$F$2819,$G2660))</f>
        <v/>
      </c>
      <c r="F2660" s="8" t="str">
        <f>IF($G2660="","",INDEX('EDS Lookup'!$G$6:$G$2819,$G2660))</f>
        <v/>
      </c>
      <c r="G2660" t="str">
        <f>IF(2637&lt;=$B$4,IFERROR(MATCH(2637,'EDS Lookup'!$H$6:$H$2819,0),""),"")</f>
        <v/>
      </c>
      <c r="H2660" t="str">
        <f t="shared" si="41"/>
        <v/>
      </c>
    </row>
    <row r="2661" spans="1:8" ht="19.95" customHeight="1">
      <c r="A2661" s="5" t="str">
        <f>IF($G2661="","",INDEX('EDS Lookup'!$D$6:$D$2819,$G2661))</f>
        <v/>
      </c>
      <c r="B2661" s="5" t="str">
        <f>IF($G2661="","",INDEX('EDS Lookup'!$B$6:$B$2819,$G2661))</f>
        <v/>
      </c>
      <c r="C2661" s="17"/>
      <c r="D2661" s="6"/>
      <c r="E2661" s="7" t="str">
        <f>IF($G2661="","",INDEX('EDS Lookup'!$F$6:$F$2819,$G2661))</f>
        <v/>
      </c>
      <c r="F2661" s="8" t="str">
        <f>IF($G2661="","",INDEX('EDS Lookup'!$G$6:$G$2819,$G2661))</f>
        <v/>
      </c>
      <c r="G2661" t="str">
        <f>IF(2638&lt;=$B$4,IFERROR(MATCH(2638,'EDS Lookup'!$H$6:$H$2819,0),""),"")</f>
        <v/>
      </c>
      <c r="H2661" t="str">
        <f t="shared" si="41"/>
        <v/>
      </c>
    </row>
    <row r="2662" spans="1:8" ht="19.95" customHeight="1">
      <c r="A2662" s="5" t="str">
        <f>IF($G2662="","",INDEX('EDS Lookup'!$D$6:$D$2819,$G2662))</f>
        <v/>
      </c>
      <c r="B2662" s="5" t="str">
        <f>IF($G2662="","",INDEX('EDS Lookup'!$B$6:$B$2819,$G2662))</f>
        <v/>
      </c>
      <c r="C2662" s="17"/>
      <c r="D2662" s="6"/>
      <c r="E2662" s="7" t="str">
        <f>IF($G2662="","",INDEX('EDS Lookup'!$F$6:$F$2819,$G2662))</f>
        <v/>
      </c>
      <c r="F2662" s="8" t="str">
        <f>IF($G2662="","",INDEX('EDS Lookup'!$G$6:$G$2819,$G2662))</f>
        <v/>
      </c>
      <c r="G2662" t="str">
        <f>IF(2639&lt;=$B$4,IFERROR(MATCH(2639,'EDS Lookup'!$H$6:$H$2819,0),""),"")</f>
        <v/>
      </c>
      <c r="H2662" t="str">
        <f t="shared" si="41"/>
        <v/>
      </c>
    </row>
    <row r="2663" spans="1:8" ht="19.95" customHeight="1">
      <c r="A2663" s="5" t="str">
        <f>IF($G2663="","",INDEX('EDS Lookup'!$D$6:$D$2819,$G2663))</f>
        <v/>
      </c>
      <c r="B2663" s="5" t="str">
        <f>IF($G2663="","",INDEX('EDS Lookup'!$B$6:$B$2819,$G2663))</f>
        <v/>
      </c>
      <c r="C2663" s="17"/>
      <c r="D2663" s="6"/>
      <c r="E2663" s="7" t="str">
        <f>IF($G2663="","",INDEX('EDS Lookup'!$F$6:$F$2819,$G2663))</f>
        <v/>
      </c>
      <c r="F2663" s="8" t="str">
        <f>IF($G2663="","",INDEX('EDS Lookup'!$G$6:$G$2819,$G2663))</f>
        <v/>
      </c>
      <c r="G2663" t="str">
        <f>IF(2640&lt;=$B$4,IFERROR(MATCH(2640,'EDS Lookup'!$H$6:$H$2819,0),""),"")</f>
        <v/>
      </c>
      <c r="H2663" t="str">
        <f t="shared" si="41"/>
        <v/>
      </c>
    </row>
    <row r="2664" spans="1:8" ht="19.95" customHeight="1">
      <c r="A2664" s="5" t="str">
        <f>IF($G2664="","",INDEX('EDS Lookup'!$D$6:$D$2819,$G2664))</f>
        <v/>
      </c>
      <c r="B2664" s="5" t="str">
        <f>IF($G2664="","",INDEX('EDS Lookup'!$B$6:$B$2819,$G2664))</f>
        <v/>
      </c>
      <c r="C2664" s="17"/>
      <c r="D2664" s="6"/>
      <c r="E2664" s="7" t="str">
        <f>IF($G2664="","",INDEX('EDS Lookup'!$F$6:$F$2819,$G2664))</f>
        <v/>
      </c>
      <c r="F2664" s="8" t="str">
        <f>IF($G2664="","",INDEX('EDS Lookup'!$G$6:$G$2819,$G2664))</f>
        <v/>
      </c>
      <c r="G2664" t="str">
        <f>IF(2641&lt;=$B$4,IFERROR(MATCH(2641,'EDS Lookup'!$H$6:$H$2819,0),""),"")</f>
        <v/>
      </c>
      <c r="H2664" t="str">
        <f t="shared" si="41"/>
        <v/>
      </c>
    </row>
    <row r="2665" spans="1:8" ht="19.95" customHeight="1">
      <c r="A2665" s="5" t="str">
        <f>IF($G2665="","",INDEX('EDS Lookup'!$D$6:$D$2819,$G2665))</f>
        <v/>
      </c>
      <c r="B2665" s="5" t="str">
        <f>IF($G2665="","",INDEX('EDS Lookup'!$B$6:$B$2819,$G2665))</f>
        <v/>
      </c>
      <c r="C2665" s="17"/>
      <c r="D2665" s="6"/>
      <c r="E2665" s="7" t="str">
        <f>IF($G2665="","",INDEX('EDS Lookup'!$F$6:$F$2819,$G2665))</f>
        <v/>
      </c>
      <c r="F2665" s="8" t="str">
        <f>IF($G2665="","",INDEX('EDS Lookup'!$G$6:$G$2819,$G2665))</f>
        <v/>
      </c>
      <c r="G2665" t="str">
        <f>IF(2642&lt;=$B$4,IFERROR(MATCH(2642,'EDS Lookup'!$H$6:$H$2819,0),""),"")</f>
        <v/>
      </c>
      <c r="H2665" t="str">
        <f t="shared" si="41"/>
        <v/>
      </c>
    </row>
    <row r="2666" spans="1:8" ht="19.95" customHeight="1">
      <c r="A2666" s="5" t="str">
        <f>IF($G2666="","",INDEX('EDS Lookup'!$D$6:$D$2819,$G2666))</f>
        <v/>
      </c>
      <c r="B2666" s="5" t="str">
        <f>IF($G2666="","",INDEX('EDS Lookup'!$B$6:$B$2819,$G2666))</f>
        <v/>
      </c>
      <c r="C2666" s="17"/>
      <c r="D2666" s="6"/>
      <c r="E2666" s="7" t="str">
        <f>IF($G2666="","",INDEX('EDS Lookup'!$F$6:$F$2819,$G2666))</f>
        <v/>
      </c>
      <c r="F2666" s="8" t="str">
        <f>IF($G2666="","",INDEX('EDS Lookup'!$G$6:$G$2819,$G2666))</f>
        <v/>
      </c>
      <c r="G2666" t="str">
        <f>IF(2643&lt;=$B$4,IFERROR(MATCH(2643,'EDS Lookup'!$H$6:$H$2819,0),""),"")</f>
        <v/>
      </c>
      <c r="H2666" t="str">
        <f t="shared" si="41"/>
        <v/>
      </c>
    </row>
    <row r="2667" spans="1:8" ht="19.95" customHeight="1">
      <c r="A2667" s="5" t="str">
        <f>IF($G2667="","",INDEX('EDS Lookup'!$D$6:$D$2819,$G2667))</f>
        <v/>
      </c>
      <c r="B2667" s="5" t="str">
        <f>IF($G2667="","",INDEX('EDS Lookup'!$B$6:$B$2819,$G2667))</f>
        <v/>
      </c>
      <c r="C2667" s="17"/>
      <c r="D2667" s="6"/>
      <c r="E2667" s="7" t="str">
        <f>IF($G2667="","",INDEX('EDS Lookup'!$F$6:$F$2819,$G2667))</f>
        <v/>
      </c>
      <c r="F2667" s="8" t="str">
        <f>IF($G2667="","",INDEX('EDS Lookup'!$G$6:$G$2819,$G2667))</f>
        <v/>
      </c>
      <c r="G2667" t="str">
        <f>IF(2644&lt;=$B$4,IFERROR(MATCH(2644,'EDS Lookup'!$H$6:$H$2819,0),""),"")</f>
        <v/>
      </c>
      <c r="H2667" t="str">
        <f t="shared" si="41"/>
        <v/>
      </c>
    </row>
    <row r="2668" spans="1:8" ht="19.95" customHeight="1">
      <c r="A2668" s="5" t="str">
        <f>IF($G2668="","",INDEX('EDS Lookup'!$D$6:$D$2819,$G2668))</f>
        <v/>
      </c>
      <c r="B2668" s="5" t="str">
        <f>IF($G2668="","",INDEX('EDS Lookup'!$B$6:$B$2819,$G2668))</f>
        <v/>
      </c>
      <c r="C2668" s="17"/>
      <c r="D2668" s="6"/>
      <c r="E2668" s="7" t="str">
        <f>IF($G2668="","",INDEX('EDS Lookup'!$F$6:$F$2819,$G2668))</f>
        <v/>
      </c>
      <c r="F2668" s="8" t="str">
        <f>IF($G2668="","",INDEX('EDS Lookup'!$G$6:$G$2819,$G2668))</f>
        <v/>
      </c>
      <c r="G2668" t="str">
        <f>IF(2645&lt;=$B$4,IFERROR(MATCH(2645,'EDS Lookup'!$H$6:$H$2819,0),""),"")</f>
        <v/>
      </c>
      <c r="H2668" t="str">
        <f t="shared" si="41"/>
        <v/>
      </c>
    </row>
    <row r="2669" spans="1:8" ht="19.95" customHeight="1">
      <c r="A2669" s="5" t="str">
        <f>IF($G2669="","",INDEX('EDS Lookup'!$D$6:$D$2819,$G2669))</f>
        <v/>
      </c>
      <c r="B2669" s="5" t="str">
        <f>IF($G2669="","",INDEX('EDS Lookup'!$B$6:$B$2819,$G2669))</f>
        <v/>
      </c>
      <c r="C2669" s="17"/>
      <c r="D2669" s="6"/>
      <c r="E2669" s="7" t="str">
        <f>IF($G2669="","",INDEX('EDS Lookup'!$F$6:$F$2819,$G2669))</f>
        <v/>
      </c>
      <c r="F2669" s="8" t="str">
        <f>IF($G2669="","",INDEX('EDS Lookup'!$G$6:$G$2819,$G2669))</f>
        <v/>
      </c>
      <c r="G2669" t="str">
        <f>IF(2646&lt;=$B$4,IFERROR(MATCH(2646,'EDS Lookup'!$H$6:$H$2819,0),""),"")</f>
        <v/>
      </c>
      <c r="H2669" t="str">
        <f t="shared" si="41"/>
        <v/>
      </c>
    </row>
    <row r="2670" spans="1:8" ht="19.95" customHeight="1">
      <c r="A2670" s="5" t="str">
        <f>IF($G2670="","",INDEX('EDS Lookup'!$D$6:$D$2819,$G2670))</f>
        <v/>
      </c>
      <c r="B2670" s="5" t="str">
        <f>IF($G2670="","",INDEX('EDS Lookup'!$B$6:$B$2819,$G2670))</f>
        <v/>
      </c>
      <c r="C2670" s="17"/>
      <c r="D2670" s="6"/>
      <c r="E2670" s="7" t="str">
        <f>IF($G2670="","",INDEX('EDS Lookup'!$F$6:$F$2819,$G2670))</f>
        <v/>
      </c>
      <c r="F2670" s="8" t="str">
        <f>IF($G2670="","",INDEX('EDS Lookup'!$G$6:$G$2819,$G2670))</f>
        <v/>
      </c>
      <c r="G2670" t="str">
        <f>IF(2647&lt;=$B$4,IFERROR(MATCH(2647,'EDS Lookup'!$H$6:$H$2819,0),""),"")</f>
        <v/>
      </c>
      <c r="H2670" t="str">
        <f t="shared" si="41"/>
        <v/>
      </c>
    </row>
    <row r="2671" spans="1:8" ht="19.95" customHeight="1">
      <c r="A2671" s="5" t="str">
        <f>IF($G2671="","",INDEX('EDS Lookup'!$D$6:$D$2819,$G2671))</f>
        <v/>
      </c>
      <c r="B2671" s="5" t="str">
        <f>IF($G2671="","",INDEX('EDS Lookup'!$B$6:$B$2819,$G2671))</f>
        <v/>
      </c>
      <c r="C2671" s="17"/>
      <c r="D2671" s="6"/>
      <c r="E2671" s="7" t="str">
        <f>IF($G2671="","",INDEX('EDS Lookup'!$F$6:$F$2819,$G2671))</f>
        <v/>
      </c>
      <c r="F2671" s="8" t="str">
        <f>IF($G2671="","",INDEX('EDS Lookup'!$G$6:$G$2819,$G2671))</f>
        <v/>
      </c>
      <c r="G2671" t="str">
        <f>IF(2648&lt;=$B$4,IFERROR(MATCH(2648,'EDS Lookup'!$H$6:$H$2819,0),""),"")</f>
        <v/>
      </c>
      <c r="H2671" t="str">
        <f t="shared" si="41"/>
        <v/>
      </c>
    </row>
    <row r="2672" spans="1:8" ht="19.95" customHeight="1">
      <c r="A2672" s="5" t="str">
        <f>IF($G2672="","",INDEX('EDS Lookup'!$D$6:$D$2819,$G2672))</f>
        <v/>
      </c>
      <c r="B2672" s="5" t="str">
        <f>IF($G2672="","",INDEX('EDS Lookup'!$B$6:$B$2819,$G2672))</f>
        <v/>
      </c>
      <c r="C2672" s="17"/>
      <c r="D2672" s="6"/>
      <c r="E2672" s="7" t="str">
        <f>IF($G2672="","",INDEX('EDS Lookup'!$F$6:$F$2819,$G2672))</f>
        <v/>
      </c>
      <c r="F2672" s="8" t="str">
        <f>IF($G2672="","",INDEX('EDS Lookup'!$G$6:$G$2819,$G2672))</f>
        <v/>
      </c>
      <c r="G2672" t="str">
        <f>IF(2649&lt;=$B$4,IFERROR(MATCH(2649,'EDS Lookup'!$H$6:$H$2819,0),""),"")</f>
        <v/>
      </c>
      <c r="H2672" t="str">
        <f t="shared" si="41"/>
        <v/>
      </c>
    </row>
    <row r="2673" spans="1:8" ht="19.95" customHeight="1">
      <c r="A2673" s="5" t="str">
        <f>IF($G2673="","",INDEX('EDS Lookup'!$D$6:$D$2819,$G2673))</f>
        <v/>
      </c>
      <c r="B2673" s="5" t="str">
        <f>IF($G2673="","",INDEX('EDS Lookup'!$B$6:$B$2819,$G2673))</f>
        <v/>
      </c>
      <c r="C2673" s="17"/>
      <c r="D2673" s="6"/>
      <c r="E2673" s="7" t="str">
        <f>IF($G2673="","",INDEX('EDS Lookup'!$F$6:$F$2819,$G2673))</f>
        <v/>
      </c>
      <c r="F2673" s="8" t="str">
        <f>IF($G2673="","",INDEX('EDS Lookup'!$G$6:$G$2819,$G2673))</f>
        <v/>
      </c>
      <c r="G2673" t="str">
        <f>IF(2650&lt;=$B$4,IFERROR(MATCH(2650,'EDS Lookup'!$H$6:$H$2819,0),""),"")</f>
        <v/>
      </c>
      <c r="H2673" t="str">
        <f t="shared" si="41"/>
        <v/>
      </c>
    </row>
    <row r="2674" spans="1:8" ht="19.95" customHeight="1">
      <c r="A2674" s="5" t="str">
        <f>IF($G2674="","",INDEX('EDS Lookup'!$D$6:$D$2819,$G2674))</f>
        <v/>
      </c>
      <c r="B2674" s="5" t="str">
        <f>IF($G2674="","",INDEX('EDS Lookup'!$B$6:$B$2819,$G2674))</f>
        <v/>
      </c>
      <c r="C2674" s="17"/>
      <c r="D2674" s="6"/>
      <c r="E2674" s="7" t="str">
        <f>IF($G2674="","",INDEX('EDS Lookup'!$F$6:$F$2819,$G2674))</f>
        <v/>
      </c>
      <c r="F2674" s="8" t="str">
        <f>IF($G2674="","",INDEX('EDS Lookup'!$G$6:$G$2819,$G2674))</f>
        <v/>
      </c>
      <c r="G2674" t="str">
        <f>IF(2651&lt;=$B$4,IFERROR(MATCH(2651,'EDS Lookup'!$H$6:$H$2819,0),""),"")</f>
        <v/>
      </c>
      <c r="H2674" t="str">
        <f t="shared" si="41"/>
        <v/>
      </c>
    </row>
    <row r="2675" spans="1:8" ht="19.95" customHeight="1">
      <c r="A2675" s="5" t="str">
        <f>IF($G2675="","",INDEX('EDS Lookup'!$D$6:$D$2819,$G2675))</f>
        <v/>
      </c>
      <c r="B2675" s="5" t="str">
        <f>IF($G2675="","",INDEX('EDS Lookup'!$B$6:$B$2819,$G2675))</f>
        <v/>
      </c>
      <c r="C2675" s="17"/>
      <c r="D2675" s="6"/>
      <c r="E2675" s="7" t="str">
        <f>IF($G2675="","",INDEX('EDS Lookup'!$F$6:$F$2819,$G2675))</f>
        <v/>
      </c>
      <c r="F2675" s="8" t="str">
        <f>IF($G2675="","",INDEX('EDS Lookup'!$G$6:$G$2819,$G2675))</f>
        <v/>
      </c>
      <c r="G2675" t="str">
        <f>IF(2652&lt;=$B$4,IFERROR(MATCH(2652,'EDS Lookup'!$H$6:$H$2819,0),""),"")</f>
        <v/>
      </c>
      <c r="H2675" t="str">
        <f t="shared" si="41"/>
        <v/>
      </c>
    </row>
    <row r="2676" spans="1:8" ht="19.95" customHeight="1">
      <c r="A2676" s="5" t="str">
        <f>IF($G2676="","",INDEX('EDS Lookup'!$D$6:$D$2819,$G2676))</f>
        <v/>
      </c>
      <c r="B2676" s="5" t="str">
        <f>IF($G2676="","",INDEX('EDS Lookup'!$B$6:$B$2819,$G2676))</f>
        <v/>
      </c>
      <c r="C2676" s="17"/>
      <c r="D2676" s="6"/>
      <c r="E2676" s="7" t="str">
        <f>IF($G2676="","",INDEX('EDS Lookup'!$F$6:$F$2819,$G2676))</f>
        <v/>
      </c>
      <c r="F2676" s="8" t="str">
        <f>IF($G2676="","",INDEX('EDS Lookup'!$G$6:$G$2819,$G2676))</f>
        <v/>
      </c>
      <c r="G2676" t="str">
        <f>IF(2653&lt;=$B$4,IFERROR(MATCH(2653,'EDS Lookup'!$H$6:$H$2819,0),""),"")</f>
        <v/>
      </c>
      <c r="H2676" t="str">
        <f t="shared" si="41"/>
        <v/>
      </c>
    </row>
    <row r="2677" spans="1:8" ht="19.95" customHeight="1">
      <c r="A2677" s="5" t="str">
        <f>IF($G2677="","",INDEX('EDS Lookup'!$D$6:$D$2819,$G2677))</f>
        <v/>
      </c>
      <c r="B2677" s="5" t="str">
        <f>IF($G2677="","",INDEX('EDS Lookup'!$B$6:$B$2819,$G2677))</f>
        <v/>
      </c>
      <c r="C2677" s="17"/>
      <c r="D2677" s="6"/>
      <c r="E2677" s="7" t="str">
        <f>IF($G2677="","",INDEX('EDS Lookup'!$F$6:$F$2819,$G2677))</f>
        <v/>
      </c>
      <c r="F2677" s="8" t="str">
        <f>IF($G2677="","",INDEX('EDS Lookup'!$G$6:$G$2819,$G2677))</f>
        <v/>
      </c>
      <c r="G2677" t="str">
        <f>IF(2654&lt;=$B$4,IFERROR(MATCH(2654,'EDS Lookup'!$H$6:$H$2819,0),""),"")</f>
        <v/>
      </c>
      <c r="H2677" t="str">
        <f t="shared" si="41"/>
        <v/>
      </c>
    </row>
    <row r="2678" spans="1:8" ht="19.95" customHeight="1">
      <c r="A2678" s="5" t="str">
        <f>IF($G2678="","",INDEX('EDS Lookup'!$D$6:$D$2819,$G2678))</f>
        <v/>
      </c>
      <c r="B2678" s="5" t="str">
        <f>IF($G2678="","",INDEX('EDS Lookup'!$B$6:$B$2819,$G2678))</f>
        <v/>
      </c>
      <c r="C2678" s="17"/>
      <c r="D2678" s="6"/>
      <c r="E2678" s="7" t="str">
        <f>IF($G2678="","",INDEX('EDS Lookup'!$F$6:$F$2819,$G2678))</f>
        <v/>
      </c>
      <c r="F2678" s="8" t="str">
        <f>IF($G2678="","",INDEX('EDS Lookup'!$G$6:$G$2819,$G2678))</f>
        <v/>
      </c>
      <c r="G2678" t="str">
        <f>IF(2655&lt;=$B$4,IFERROR(MATCH(2655,'EDS Lookup'!$H$6:$H$2819,0),""),"")</f>
        <v/>
      </c>
      <c r="H2678" t="str">
        <f t="shared" si="41"/>
        <v/>
      </c>
    </row>
    <row r="2679" spans="1:8" ht="19.95" customHeight="1">
      <c r="A2679" s="5" t="str">
        <f>IF($G2679="","",INDEX('EDS Lookup'!$D$6:$D$2819,$G2679))</f>
        <v/>
      </c>
      <c r="B2679" s="5" t="str">
        <f>IF($G2679="","",INDEX('EDS Lookup'!$B$6:$B$2819,$G2679))</f>
        <v/>
      </c>
      <c r="C2679" s="17"/>
      <c r="D2679" s="6"/>
      <c r="E2679" s="7" t="str">
        <f>IF($G2679="","",INDEX('EDS Lookup'!$F$6:$F$2819,$G2679))</f>
        <v/>
      </c>
      <c r="F2679" s="8" t="str">
        <f>IF($G2679="","",INDEX('EDS Lookup'!$G$6:$G$2819,$G2679))</f>
        <v/>
      </c>
      <c r="G2679" t="str">
        <f>IF(2656&lt;=$B$4,IFERROR(MATCH(2656,'EDS Lookup'!$H$6:$H$2819,0),""),"")</f>
        <v/>
      </c>
      <c r="H2679" t="str">
        <f t="shared" si="41"/>
        <v/>
      </c>
    </row>
    <row r="2680" spans="1:8" ht="19.95" customHeight="1">
      <c r="A2680" s="5" t="str">
        <f>IF($G2680="","",INDEX('EDS Lookup'!$D$6:$D$2819,$G2680))</f>
        <v/>
      </c>
      <c r="B2680" s="5" t="str">
        <f>IF($G2680="","",INDEX('EDS Lookup'!$B$6:$B$2819,$G2680))</f>
        <v/>
      </c>
      <c r="C2680" s="17"/>
      <c r="D2680" s="6"/>
      <c r="E2680" s="7" t="str">
        <f>IF($G2680="","",INDEX('EDS Lookup'!$F$6:$F$2819,$G2680))</f>
        <v/>
      </c>
      <c r="F2680" s="8" t="str">
        <f>IF($G2680="","",INDEX('EDS Lookup'!$G$6:$G$2819,$G2680))</f>
        <v/>
      </c>
      <c r="G2680" t="str">
        <f>IF(2657&lt;=$B$4,IFERROR(MATCH(2657,'EDS Lookup'!$H$6:$H$2819,0),""),"")</f>
        <v/>
      </c>
      <c r="H2680" t="str">
        <f t="shared" si="41"/>
        <v/>
      </c>
    </row>
    <row r="2681" spans="1:8" ht="19.95" customHeight="1">
      <c r="A2681" s="5" t="str">
        <f>IF($G2681="","",INDEX('EDS Lookup'!$D$6:$D$2819,$G2681))</f>
        <v/>
      </c>
      <c r="B2681" s="5" t="str">
        <f>IF($G2681="","",INDEX('EDS Lookup'!$B$6:$B$2819,$G2681))</f>
        <v/>
      </c>
      <c r="C2681" s="17"/>
      <c r="D2681" s="6"/>
      <c r="E2681" s="7" t="str">
        <f>IF($G2681="","",INDEX('EDS Lookup'!$F$6:$F$2819,$G2681))</f>
        <v/>
      </c>
      <c r="F2681" s="8" t="str">
        <f>IF($G2681="","",INDEX('EDS Lookup'!$G$6:$G$2819,$G2681))</f>
        <v/>
      </c>
      <c r="G2681" t="str">
        <f>IF(2658&lt;=$B$4,IFERROR(MATCH(2658,'EDS Lookup'!$H$6:$H$2819,0),""),"")</f>
        <v/>
      </c>
      <c r="H2681" t="str">
        <f t="shared" si="41"/>
        <v/>
      </c>
    </row>
    <row r="2682" spans="1:8" ht="19.95" customHeight="1">
      <c r="A2682" s="5" t="str">
        <f>IF($G2682="","",INDEX('EDS Lookup'!$D$6:$D$2819,$G2682))</f>
        <v/>
      </c>
      <c r="B2682" s="5" t="str">
        <f>IF($G2682="","",INDEX('EDS Lookup'!$B$6:$B$2819,$G2682))</f>
        <v/>
      </c>
      <c r="C2682" s="17"/>
      <c r="D2682" s="6"/>
      <c r="E2682" s="7" t="str">
        <f>IF($G2682="","",INDEX('EDS Lookup'!$F$6:$F$2819,$G2682))</f>
        <v/>
      </c>
      <c r="F2682" s="8" t="str">
        <f>IF($G2682="","",INDEX('EDS Lookup'!$G$6:$G$2819,$G2682))</f>
        <v/>
      </c>
      <c r="G2682" t="str">
        <f>IF(2659&lt;=$B$4,IFERROR(MATCH(2659,'EDS Lookup'!$H$6:$H$2819,0),""),"")</f>
        <v/>
      </c>
      <c r="H2682" t="str">
        <f t="shared" si="41"/>
        <v/>
      </c>
    </row>
    <row r="2683" spans="1:8" ht="19.95" customHeight="1">
      <c r="A2683" s="5" t="str">
        <f>IF($G2683="","",INDEX('EDS Lookup'!$D$6:$D$2819,$G2683))</f>
        <v/>
      </c>
      <c r="B2683" s="5" t="str">
        <f>IF($G2683="","",INDEX('EDS Lookup'!$B$6:$B$2819,$G2683))</f>
        <v/>
      </c>
      <c r="C2683" s="17"/>
      <c r="D2683" s="6"/>
      <c r="E2683" s="7" t="str">
        <f>IF($G2683="","",INDEX('EDS Lookup'!$F$6:$F$2819,$G2683))</f>
        <v/>
      </c>
      <c r="F2683" s="8" t="str">
        <f>IF($G2683="","",INDEX('EDS Lookup'!$G$6:$G$2819,$G2683))</f>
        <v/>
      </c>
      <c r="G2683" t="str">
        <f>IF(2660&lt;=$B$4,IFERROR(MATCH(2660,'EDS Lookup'!$H$6:$H$2819,0),""),"")</f>
        <v/>
      </c>
      <c r="H2683" t="str">
        <f t="shared" si="41"/>
        <v/>
      </c>
    </row>
    <row r="2684" spans="1:8" ht="19.95" customHeight="1">
      <c r="A2684" s="5" t="str">
        <f>IF($G2684="","",INDEX('EDS Lookup'!$D$6:$D$2819,$G2684))</f>
        <v/>
      </c>
      <c r="B2684" s="5" t="str">
        <f>IF($G2684="","",INDEX('EDS Lookup'!$B$6:$B$2819,$G2684))</f>
        <v/>
      </c>
      <c r="C2684" s="17"/>
      <c r="D2684" s="6"/>
      <c r="E2684" s="7" t="str">
        <f>IF($G2684="","",INDEX('EDS Lookup'!$F$6:$F$2819,$G2684))</f>
        <v/>
      </c>
      <c r="F2684" s="8" t="str">
        <f>IF($G2684="","",INDEX('EDS Lookup'!$G$6:$G$2819,$G2684))</f>
        <v/>
      </c>
      <c r="G2684" t="str">
        <f>IF(2661&lt;=$B$4,IFERROR(MATCH(2661,'EDS Lookup'!$H$6:$H$2819,0),""),"")</f>
        <v/>
      </c>
      <c r="H2684" t="str">
        <f t="shared" si="41"/>
        <v/>
      </c>
    </row>
    <row r="2685" spans="1:8" ht="19.95" customHeight="1">
      <c r="A2685" s="5" t="str">
        <f>IF($G2685="","",INDEX('EDS Lookup'!$D$6:$D$2819,$G2685))</f>
        <v/>
      </c>
      <c r="B2685" s="5" t="str">
        <f>IF($G2685="","",INDEX('EDS Lookup'!$B$6:$B$2819,$G2685))</f>
        <v/>
      </c>
      <c r="C2685" s="17"/>
      <c r="D2685" s="6"/>
      <c r="E2685" s="7" t="str">
        <f>IF($G2685="","",INDEX('EDS Lookup'!$F$6:$F$2819,$G2685))</f>
        <v/>
      </c>
      <c r="F2685" s="8" t="str">
        <f>IF($G2685="","",INDEX('EDS Lookup'!$G$6:$G$2819,$G2685))</f>
        <v/>
      </c>
      <c r="G2685" t="str">
        <f>IF(2662&lt;=$B$4,IFERROR(MATCH(2662,'EDS Lookup'!$H$6:$H$2819,0),""),"")</f>
        <v/>
      </c>
      <c r="H2685" t="str">
        <f t="shared" si="41"/>
        <v/>
      </c>
    </row>
    <row r="2686" spans="1:8" ht="19.95" customHeight="1">
      <c r="A2686" s="5" t="str">
        <f>IF($G2686="","",INDEX('EDS Lookup'!$D$6:$D$2819,$G2686))</f>
        <v/>
      </c>
      <c r="B2686" s="5" t="str">
        <f>IF($G2686="","",INDEX('EDS Lookup'!$B$6:$B$2819,$G2686))</f>
        <v/>
      </c>
      <c r="C2686" s="17"/>
      <c r="D2686" s="6"/>
      <c r="E2686" s="7" t="str">
        <f>IF($G2686="","",INDEX('EDS Lookup'!$F$6:$F$2819,$G2686))</f>
        <v/>
      </c>
      <c r="F2686" s="8" t="str">
        <f>IF($G2686="","",INDEX('EDS Lookup'!$G$6:$G$2819,$G2686))</f>
        <v/>
      </c>
      <c r="G2686" t="str">
        <f>IF(2663&lt;=$B$4,IFERROR(MATCH(2663,'EDS Lookup'!$H$6:$H$2819,0),""),"")</f>
        <v/>
      </c>
      <c r="H2686" t="str">
        <f t="shared" si="41"/>
        <v/>
      </c>
    </row>
    <row r="2687" spans="1:8" ht="19.95" customHeight="1">
      <c r="A2687" s="5" t="str">
        <f>IF($G2687="","",INDEX('EDS Lookup'!$D$6:$D$2819,$G2687))</f>
        <v/>
      </c>
      <c r="B2687" s="5" t="str">
        <f>IF($G2687="","",INDEX('EDS Lookup'!$B$6:$B$2819,$G2687))</f>
        <v/>
      </c>
      <c r="C2687" s="17"/>
      <c r="D2687" s="6"/>
      <c r="E2687" s="7" t="str">
        <f>IF($G2687="","",INDEX('EDS Lookup'!$F$6:$F$2819,$G2687))</f>
        <v/>
      </c>
      <c r="F2687" s="8" t="str">
        <f>IF($G2687="","",INDEX('EDS Lookup'!$G$6:$G$2819,$G2687))</f>
        <v/>
      </c>
      <c r="G2687" t="str">
        <f>IF(2664&lt;=$B$4,IFERROR(MATCH(2664,'EDS Lookup'!$H$6:$H$2819,0),""),"")</f>
        <v/>
      </c>
      <c r="H2687" t="str">
        <f t="shared" si="41"/>
        <v/>
      </c>
    </row>
    <row r="2688" spans="1:8" ht="19.95" customHeight="1">
      <c r="A2688" s="5" t="str">
        <f>IF($G2688="","",INDEX('EDS Lookup'!$D$6:$D$2819,$G2688))</f>
        <v/>
      </c>
      <c r="B2688" s="5" t="str">
        <f>IF($G2688="","",INDEX('EDS Lookup'!$B$6:$B$2819,$G2688))</f>
        <v/>
      </c>
      <c r="C2688" s="17"/>
      <c r="D2688" s="6"/>
      <c r="E2688" s="7" t="str">
        <f>IF($G2688="","",INDEX('EDS Lookup'!$F$6:$F$2819,$G2688))</f>
        <v/>
      </c>
      <c r="F2688" s="8" t="str">
        <f>IF($G2688="","",INDEX('EDS Lookup'!$G$6:$G$2819,$G2688))</f>
        <v/>
      </c>
      <c r="G2688" t="str">
        <f>IF(2665&lt;=$B$4,IFERROR(MATCH(2665,'EDS Lookup'!$H$6:$H$2819,0),""),"")</f>
        <v/>
      </c>
      <c r="H2688" t="str">
        <f t="shared" si="41"/>
        <v/>
      </c>
    </row>
    <row r="2689" spans="1:8" ht="19.95" customHeight="1">
      <c r="A2689" s="5" t="str">
        <f>IF($G2689="","",INDEX('EDS Lookup'!$D$6:$D$2819,$G2689))</f>
        <v/>
      </c>
      <c r="B2689" s="5" t="str">
        <f>IF($G2689="","",INDEX('EDS Lookup'!$B$6:$B$2819,$G2689))</f>
        <v/>
      </c>
      <c r="C2689" s="17"/>
      <c r="D2689" s="6"/>
      <c r="E2689" s="7" t="str">
        <f>IF($G2689="","",INDEX('EDS Lookup'!$F$6:$F$2819,$G2689))</f>
        <v/>
      </c>
      <c r="F2689" s="8" t="str">
        <f>IF($G2689="","",INDEX('EDS Lookup'!$G$6:$G$2819,$G2689))</f>
        <v/>
      </c>
      <c r="G2689" t="str">
        <f>IF(2666&lt;=$B$4,IFERROR(MATCH(2666,'EDS Lookup'!$H$6:$H$2819,0),""),"")</f>
        <v/>
      </c>
      <c r="H2689" t="str">
        <f t="shared" si="41"/>
        <v/>
      </c>
    </row>
    <row r="2690" spans="1:8" ht="19.95" customHeight="1">
      <c r="A2690" s="5" t="str">
        <f>IF($G2690="","",INDEX('EDS Lookup'!$D$6:$D$2819,$G2690))</f>
        <v/>
      </c>
      <c r="B2690" s="5" t="str">
        <f>IF($G2690="","",INDEX('EDS Lookup'!$B$6:$B$2819,$G2690))</f>
        <v/>
      </c>
      <c r="C2690" s="17"/>
      <c r="D2690" s="6"/>
      <c r="E2690" s="7" t="str">
        <f>IF($G2690="","",INDEX('EDS Lookup'!$F$6:$F$2819,$G2690))</f>
        <v/>
      </c>
      <c r="F2690" s="8" t="str">
        <f>IF($G2690="","",INDEX('EDS Lookup'!$G$6:$G$2819,$G2690))</f>
        <v/>
      </c>
      <c r="G2690" t="str">
        <f>IF(2667&lt;=$B$4,IFERROR(MATCH(2667,'EDS Lookup'!$H$6:$H$2819,0),""),"")</f>
        <v/>
      </c>
      <c r="H2690" t="str">
        <f t="shared" si="41"/>
        <v/>
      </c>
    </row>
    <row r="2691" spans="1:8" ht="19.95" customHeight="1">
      <c r="A2691" s="5" t="str">
        <f>IF($G2691="","",INDEX('EDS Lookup'!$D$6:$D$2819,$G2691))</f>
        <v/>
      </c>
      <c r="B2691" s="5" t="str">
        <f>IF($G2691="","",INDEX('EDS Lookup'!$B$6:$B$2819,$G2691))</f>
        <v/>
      </c>
      <c r="C2691" s="17"/>
      <c r="D2691" s="6"/>
      <c r="E2691" s="7" t="str">
        <f>IF($G2691="","",INDEX('EDS Lookup'!$F$6:$F$2819,$G2691))</f>
        <v/>
      </c>
      <c r="F2691" s="8" t="str">
        <f>IF($G2691="","",INDEX('EDS Lookup'!$G$6:$G$2819,$G2691))</f>
        <v/>
      </c>
      <c r="G2691" t="str">
        <f>IF(2668&lt;=$B$4,IFERROR(MATCH(2668,'EDS Lookup'!$H$6:$H$2819,0),""),"")</f>
        <v/>
      </c>
      <c r="H2691" t="str">
        <f t="shared" si="41"/>
        <v/>
      </c>
    </row>
    <row r="2692" spans="1:8" ht="19.95" customHeight="1">
      <c r="A2692" s="5" t="str">
        <f>IF($G2692="","",INDEX('EDS Lookup'!$D$6:$D$2819,$G2692))</f>
        <v/>
      </c>
      <c r="B2692" s="5" t="str">
        <f>IF($G2692="","",INDEX('EDS Lookup'!$B$6:$B$2819,$G2692))</f>
        <v/>
      </c>
      <c r="C2692" s="17"/>
      <c r="D2692" s="6"/>
      <c r="E2692" s="7" t="str">
        <f>IF($G2692="","",INDEX('EDS Lookup'!$F$6:$F$2819,$G2692))</f>
        <v/>
      </c>
      <c r="F2692" s="8" t="str">
        <f>IF($G2692="","",INDEX('EDS Lookup'!$G$6:$G$2819,$G2692))</f>
        <v/>
      </c>
      <c r="G2692" t="str">
        <f>IF(2669&lt;=$B$4,IFERROR(MATCH(2669,'EDS Lookup'!$H$6:$H$2819,0),""),"")</f>
        <v/>
      </c>
      <c r="H2692" t="str">
        <f t="shared" si="41"/>
        <v/>
      </c>
    </row>
    <row r="2693" spans="1:8" ht="19.95" customHeight="1">
      <c r="A2693" s="5" t="str">
        <f>IF($G2693="","",INDEX('EDS Lookup'!$D$6:$D$2819,$G2693))</f>
        <v/>
      </c>
      <c r="B2693" s="5" t="str">
        <f>IF($G2693="","",INDEX('EDS Lookup'!$B$6:$B$2819,$G2693))</f>
        <v/>
      </c>
      <c r="C2693" s="17"/>
      <c r="D2693" s="6"/>
      <c r="E2693" s="7" t="str">
        <f>IF($G2693="","",INDEX('EDS Lookup'!$F$6:$F$2819,$G2693))</f>
        <v/>
      </c>
      <c r="F2693" s="8" t="str">
        <f>IF($G2693="","",INDEX('EDS Lookup'!$G$6:$G$2819,$G2693))</f>
        <v/>
      </c>
      <c r="G2693" t="str">
        <f>IF(2670&lt;=$B$4,IFERROR(MATCH(2670,'EDS Lookup'!$H$6:$H$2819,0),""),"")</f>
        <v/>
      </c>
      <c r="H2693" t="str">
        <f t="shared" si="41"/>
        <v/>
      </c>
    </row>
    <row r="2694" spans="1:8" ht="19.95" customHeight="1">
      <c r="A2694" s="5" t="str">
        <f>IF($G2694="","",INDEX('EDS Lookup'!$D$6:$D$2819,$G2694))</f>
        <v/>
      </c>
      <c r="B2694" s="5" t="str">
        <f>IF($G2694="","",INDEX('EDS Lookup'!$B$6:$B$2819,$G2694))</f>
        <v/>
      </c>
      <c r="C2694" s="17"/>
      <c r="D2694" s="6"/>
      <c r="E2694" s="7" t="str">
        <f>IF($G2694="","",INDEX('EDS Lookup'!$F$6:$F$2819,$G2694))</f>
        <v/>
      </c>
      <c r="F2694" s="8" t="str">
        <f>IF($G2694="","",INDEX('EDS Lookup'!$G$6:$G$2819,$G2694))</f>
        <v/>
      </c>
      <c r="G2694" t="str">
        <f>IF(2671&lt;=$B$4,IFERROR(MATCH(2671,'EDS Lookup'!$H$6:$H$2819,0),""),"")</f>
        <v/>
      </c>
      <c r="H2694" t="str">
        <f t="shared" si="41"/>
        <v/>
      </c>
    </row>
    <row r="2695" spans="1:8" ht="19.95" customHeight="1">
      <c r="A2695" s="5" t="str">
        <f>IF($G2695="","",INDEX('EDS Lookup'!$D$6:$D$2819,$G2695))</f>
        <v/>
      </c>
      <c r="B2695" s="5" t="str">
        <f>IF($G2695="","",INDEX('EDS Lookup'!$B$6:$B$2819,$G2695))</f>
        <v/>
      </c>
      <c r="C2695" s="17"/>
      <c r="D2695" s="6"/>
      <c r="E2695" s="7" t="str">
        <f>IF($G2695="","",INDEX('EDS Lookup'!$F$6:$F$2819,$G2695))</f>
        <v/>
      </c>
      <c r="F2695" s="8" t="str">
        <f>IF($G2695="","",INDEX('EDS Lookup'!$G$6:$G$2819,$G2695))</f>
        <v/>
      </c>
      <c r="G2695" t="str">
        <f>IF(2672&lt;=$B$4,IFERROR(MATCH(2672,'EDS Lookup'!$H$6:$H$2819,0),""),"")</f>
        <v/>
      </c>
      <c r="H2695" t="str">
        <f t="shared" si="41"/>
        <v/>
      </c>
    </row>
    <row r="2696" spans="1:8" ht="19.95" customHeight="1">
      <c r="A2696" s="5" t="str">
        <f>IF($G2696="","",INDEX('EDS Lookup'!$D$6:$D$2819,$G2696))</f>
        <v/>
      </c>
      <c r="B2696" s="5" t="str">
        <f>IF($G2696="","",INDEX('EDS Lookup'!$B$6:$B$2819,$G2696))</f>
        <v/>
      </c>
      <c r="C2696" s="17"/>
      <c r="D2696" s="6"/>
      <c r="E2696" s="7" t="str">
        <f>IF($G2696="","",INDEX('EDS Lookup'!$F$6:$F$2819,$G2696))</f>
        <v/>
      </c>
      <c r="F2696" s="8" t="str">
        <f>IF($G2696="","",INDEX('EDS Lookup'!$G$6:$G$2819,$G2696))</f>
        <v/>
      </c>
      <c r="G2696" t="str">
        <f>IF(2673&lt;=$B$4,IFERROR(MATCH(2673,'EDS Lookup'!$H$6:$H$2819,0),""),"")</f>
        <v/>
      </c>
      <c r="H2696" t="str">
        <f t="shared" si="41"/>
        <v/>
      </c>
    </row>
    <row r="2697" spans="1:8" ht="19.95" customHeight="1">
      <c r="A2697" s="5" t="str">
        <f>IF($G2697="","",INDEX('EDS Lookup'!$D$6:$D$2819,$G2697))</f>
        <v/>
      </c>
      <c r="B2697" s="5" t="str">
        <f>IF($G2697="","",INDEX('EDS Lookup'!$B$6:$B$2819,$G2697))</f>
        <v/>
      </c>
      <c r="C2697" s="17"/>
      <c r="D2697" s="6"/>
      <c r="E2697" s="7" t="str">
        <f>IF($G2697="","",INDEX('EDS Lookup'!$F$6:$F$2819,$G2697))</f>
        <v/>
      </c>
      <c r="F2697" s="8" t="str">
        <f>IF($G2697="","",INDEX('EDS Lookup'!$G$6:$G$2819,$G2697))</f>
        <v/>
      </c>
      <c r="G2697" t="str">
        <f>IF(2674&lt;=$B$4,IFERROR(MATCH(2674,'EDS Lookup'!$H$6:$H$2819,0),""),"")</f>
        <v/>
      </c>
      <c r="H2697" t="str">
        <f t="shared" si="41"/>
        <v/>
      </c>
    </row>
    <row r="2698" spans="1:8" ht="19.95" customHeight="1">
      <c r="A2698" s="5" t="str">
        <f>IF($G2698="","",INDEX('EDS Lookup'!$D$6:$D$2819,$G2698))</f>
        <v/>
      </c>
      <c r="B2698" s="5" t="str">
        <f>IF($G2698="","",INDEX('EDS Lookup'!$B$6:$B$2819,$G2698))</f>
        <v/>
      </c>
      <c r="C2698" s="17"/>
      <c r="D2698" s="6"/>
      <c r="E2698" s="7" t="str">
        <f>IF($G2698="","",INDEX('EDS Lookup'!$F$6:$F$2819,$G2698))</f>
        <v/>
      </c>
      <c r="F2698" s="8" t="str">
        <f>IF($G2698="","",INDEX('EDS Lookup'!$G$6:$G$2819,$G2698))</f>
        <v/>
      </c>
      <c r="G2698" t="str">
        <f>IF(2675&lt;=$B$4,IFERROR(MATCH(2675,'EDS Lookup'!$H$6:$H$2819,0),""),"")</f>
        <v/>
      </c>
      <c r="H2698" t="str">
        <f t="shared" si="41"/>
        <v/>
      </c>
    </row>
    <row r="2699" spans="1:8" ht="19.95" customHeight="1">
      <c r="A2699" s="5" t="str">
        <f>IF($G2699="","",INDEX('EDS Lookup'!$D$6:$D$2819,$G2699))</f>
        <v/>
      </c>
      <c r="B2699" s="5" t="str">
        <f>IF($G2699="","",INDEX('EDS Lookup'!$B$6:$B$2819,$G2699))</f>
        <v/>
      </c>
      <c r="C2699" s="17"/>
      <c r="D2699" s="6"/>
      <c r="E2699" s="7" t="str">
        <f>IF($G2699="","",INDEX('EDS Lookup'!$F$6:$F$2819,$G2699))</f>
        <v/>
      </c>
      <c r="F2699" s="8" t="str">
        <f>IF($G2699="","",INDEX('EDS Lookup'!$G$6:$G$2819,$G2699))</f>
        <v/>
      </c>
      <c r="G2699" t="str">
        <f>IF(2676&lt;=$B$4,IFERROR(MATCH(2676,'EDS Lookup'!$H$6:$H$2819,0),""),"")</f>
        <v/>
      </c>
      <c r="H2699" t="str">
        <f t="shared" si="41"/>
        <v/>
      </c>
    </row>
    <row r="2700" spans="1:8" ht="19.95" customHeight="1">
      <c r="A2700" s="5" t="str">
        <f>IF($G2700="","",INDEX('EDS Lookup'!$D$6:$D$2819,$G2700))</f>
        <v/>
      </c>
      <c r="B2700" s="5" t="str">
        <f>IF($G2700="","",INDEX('EDS Lookup'!$B$6:$B$2819,$G2700))</f>
        <v/>
      </c>
      <c r="C2700" s="17"/>
      <c r="D2700" s="6"/>
      <c r="E2700" s="7" t="str">
        <f>IF($G2700="","",INDEX('EDS Lookup'!$F$6:$F$2819,$G2700))</f>
        <v/>
      </c>
      <c r="F2700" s="8" t="str">
        <f>IF($G2700="","",INDEX('EDS Lookup'!$G$6:$G$2819,$G2700))</f>
        <v/>
      </c>
      <c r="G2700" t="str">
        <f>IF(2677&lt;=$B$4,IFERROR(MATCH(2677,'EDS Lookup'!$H$6:$H$2819,0),""),"")</f>
        <v/>
      </c>
      <c r="H2700" t="str">
        <f t="shared" si="41"/>
        <v/>
      </c>
    </row>
    <row r="2701" spans="1:8" ht="19.95" customHeight="1">
      <c r="A2701" s="5" t="str">
        <f>IF($G2701="","",INDEX('EDS Lookup'!$D$6:$D$2819,$G2701))</f>
        <v/>
      </c>
      <c r="B2701" s="5" t="str">
        <f>IF($G2701="","",INDEX('EDS Lookup'!$B$6:$B$2819,$G2701))</f>
        <v/>
      </c>
      <c r="C2701" s="17"/>
      <c r="D2701" s="6"/>
      <c r="E2701" s="7" t="str">
        <f>IF($G2701="","",INDEX('EDS Lookup'!$F$6:$F$2819,$G2701))</f>
        <v/>
      </c>
      <c r="F2701" s="8" t="str">
        <f>IF($G2701="","",INDEX('EDS Lookup'!$G$6:$G$2819,$G2701))</f>
        <v/>
      </c>
      <c r="G2701" t="str">
        <f>IF(2678&lt;=$B$4,IFERROR(MATCH(2678,'EDS Lookup'!$H$6:$H$2819,0),""),"")</f>
        <v/>
      </c>
      <c r="H2701" t="str">
        <f t="shared" si="41"/>
        <v/>
      </c>
    </row>
    <row r="2702" spans="1:8" ht="19.95" customHeight="1">
      <c r="A2702" s="5" t="str">
        <f>IF($G2702="","",INDEX('EDS Lookup'!$D$6:$D$2819,$G2702))</f>
        <v/>
      </c>
      <c r="B2702" s="5" t="str">
        <f>IF($G2702="","",INDEX('EDS Lookup'!$B$6:$B$2819,$G2702))</f>
        <v/>
      </c>
      <c r="C2702" s="17"/>
      <c r="D2702" s="6"/>
      <c r="E2702" s="7" t="str">
        <f>IF($G2702="","",INDEX('EDS Lookup'!$F$6:$F$2819,$G2702))</f>
        <v/>
      </c>
      <c r="F2702" s="8" t="str">
        <f>IF($G2702="","",INDEX('EDS Lookup'!$G$6:$G$2819,$G2702))</f>
        <v/>
      </c>
      <c r="G2702" t="str">
        <f>IF(2679&lt;=$B$4,IFERROR(MATCH(2679,'EDS Lookup'!$H$6:$H$2819,0),""),"")</f>
        <v/>
      </c>
      <c r="H2702" t="str">
        <f t="shared" si="41"/>
        <v/>
      </c>
    </row>
    <row r="2703" spans="1:8" ht="19.95" customHeight="1">
      <c r="A2703" s="5" t="str">
        <f>IF($G2703="","",INDEX('EDS Lookup'!$D$6:$D$2819,$G2703))</f>
        <v/>
      </c>
      <c r="B2703" s="5" t="str">
        <f>IF($G2703="","",INDEX('EDS Lookup'!$B$6:$B$2819,$G2703))</f>
        <v/>
      </c>
      <c r="C2703" s="17"/>
      <c r="D2703" s="6"/>
      <c r="E2703" s="7" t="str">
        <f>IF($G2703="","",INDEX('EDS Lookup'!$F$6:$F$2819,$G2703))</f>
        <v/>
      </c>
      <c r="F2703" s="8" t="str">
        <f>IF($G2703="","",INDEX('EDS Lookup'!$G$6:$G$2819,$G2703))</f>
        <v/>
      </c>
      <c r="G2703" t="str">
        <f>IF(2680&lt;=$B$4,IFERROR(MATCH(2680,'EDS Lookup'!$H$6:$H$2819,0),""),"")</f>
        <v/>
      </c>
      <c r="H2703" t="str">
        <f t="shared" si="41"/>
        <v/>
      </c>
    </row>
    <row r="2704" spans="1:8" ht="19.95" customHeight="1">
      <c r="A2704" s="5" t="str">
        <f>IF($G2704="","",INDEX('EDS Lookup'!$D$6:$D$2819,$G2704))</f>
        <v/>
      </c>
      <c r="B2704" s="5" t="str">
        <f>IF($G2704="","",INDEX('EDS Lookup'!$B$6:$B$2819,$G2704))</f>
        <v/>
      </c>
      <c r="C2704" s="17"/>
      <c r="D2704" s="6"/>
      <c r="E2704" s="7" t="str">
        <f>IF($G2704="","",INDEX('EDS Lookup'!$F$6:$F$2819,$G2704))</f>
        <v/>
      </c>
      <c r="F2704" s="8" t="str">
        <f>IF($G2704="","",INDEX('EDS Lookup'!$G$6:$G$2819,$G2704))</f>
        <v/>
      </c>
      <c r="G2704" t="str">
        <f>IF(2681&lt;=$B$4,IFERROR(MATCH(2681,'EDS Lookup'!$H$6:$H$2819,0),""),"")</f>
        <v/>
      </c>
      <c r="H2704" t="str">
        <f t="shared" si="41"/>
        <v/>
      </c>
    </row>
    <row r="2705" spans="1:8" ht="19.95" customHeight="1">
      <c r="A2705" s="5" t="str">
        <f>IF($G2705="","",INDEX('EDS Lookup'!$D$6:$D$2819,$G2705))</f>
        <v/>
      </c>
      <c r="B2705" s="5" t="str">
        <f>IF($G2705="","",INDEX('EDS Lookup'!$B$6:$B$2819,$G2705))</f>
        <v/>
      </c>
      <c r="C2705" s="17"/>
      <c r="D2705" s="6"/>
      <c r="E2705" s="7" t="str">
        <f>IF($G2705="","",INDEX('EDS Lookup'!$F$6:$F$2819,$G2705))</f>
        <v/>
      </c>
      <c r="F2705" s="8" t="str">
        <f>IF($G2705="","",INDEX('EDS Lookup'!$G$6:$G$2819,$G2705))</f>
        <v/>
      </c>
      <c r="G2705" t="str">
        <f>IF(2682&lt;=$B$4,IFERROR(MATCH(2682,'EDS Lookup'!$H$6:$H$2819,0),""),"")</f>
        <v/>
      </c>
      <c r="H2705" t="str">
        <f t="shared" si="41"/>
        <v/>
      </c>
    </row>
    <row r="2706" spans="1:8" ht="19.95" customHeight="1">
      <c r="A2706" s="5" t="str">
        <f>IF($G2706="","",INDEX('EDS Lookup'!$D$6:$D$2819,$G2706))</f>
        <v/>
      </c>
      <c r="B2706" s="5" t="str">
        <f>IF($G2706="","",INDEX('EDS Lookup'!$B$6:$B$2819,$G2706))</f>
        <v/>
      </c>
      <c r="C2706" s="17"/>
      <c r="D2706" s="6"/>
      <c r="E2706" s="7" t="str">
        <f>IF($G2706="","",INDEX('EDS Lookup'!$F$6:$F$2819,$G2706))</f>
        <v/>
      </c>
      <c r="F2706" s="8" t="str">
        <f>IF($G2706="","",INDEX('EDS Lookup'!$G$6:$G$2819,$G2706))</f>
        <v/>
      </c>
      <c r="G2706" t="str">
        <f>IF(2683&lt;=$B$4,IFERROR(MATCH(2683,'EDS Lookup'!$H$6:$H$2819,0),""),"")</f>
        <v/>
      </c>
      <c r="H2706" t="str">
        <f t="shared" si="41"/>
        <v/>
      </c>
    </row>
    <row r="2707" spans="1:8" ht="19.95" customHeight="1">
      <c r="A2707" s="5" t="str">
        <f>IF($G2707="","",INDEX('EDS Lookup'!$D$6:$D$2819,$G2707))</f>
        <v/>
      </c>
      <c r="B2707" s="5" t="str">
        <f>IF($G2707="","",INDEX('EDS Lookup'!$B$6:$B$2819,$G2707))</f>
        <v/>
      </c>
      <c r="C2707" s="17"/>
      <c r="D2707" s="6"/>
      <c r="E2707" s="7" t="str">
        <f>IF($G2707="","",INDEX('EDS Lookup'!$F$6:$F$2819,$G2707))</f>
        <v/>
      </c>
      <c r="F2707" s="8" t="str">
        <f>IF($G2707="","",INDEX('EDS Lookup'!$G$6:$G$2819,$G2707))</f>
        <v/>
      </c>
      <c r="G2707" t="str">
        <f>IF(2684&lt;=$B$4,IFERROR(MATCH(2684,'EDS Lookup'!$H$6:$H$2819,0),""),"")</f>
        <v/>
      </c>
      <c r="H2707" t="str">
        <f t="shared" si="41"/>
        <v/>
      </c>
    </row>
    <row r="2708" spans="1:8" ht="19.95" customHeight="1">
      <c r="A2708" s="5" t="str">
        <f>IF($G2708="","",INDEX('EDS Lookup'!$D$6:$D$2819,$G2708))</f>
        <v/>
      </c>
      <c r="B2708" s="5" t="str">
        <f>IF($G2708="","",INDEX('EDS Lookup'!$B$6:$B$2819,$G2708))</f>
        <v/>
      </c>
      <c r="C2708" s="17"/>
      <c r="D2708" s="6"/>
      <c r="E2708" s="7" t="str">
        <f>IF($G2708="","",INDEX('EDS Lookup'!$F$6:$F$2819,$G2708))</f>
        <v/>
      </c>
      <c r="F2708" s="8" t="str">
        <f>IF($G2708="","",INDEX('EDS Lookup'!$G$6:$G$2819,$G2708))</f>
        <v/>
      </c>
      <c r="G2708" t="str">
        <f>IF(2685&lt;=$B$4,IFERROR(MATCH(2685,'EDS Lookup'!$H$6:$H$2819,0),""),"")</f>
        <v/>
      </c>
      <c r="H2708" t="str">
        <f t="shared" si="41"/>
        <v/>
      </c>
    </row>
    <row r="2709" spans="1:8" ht="19.95" customHeight="1">
      <c r="A2709" s="5" t="str">
        <f>IF($G2709="","",INDEX('EDS Lookup'!$D$6:$D$2819,$G2709))</f>
        <v/>
      </c>
      <c r="B2709" s="5" t="str">
        <f>IF($G2709="","",INDEX('EDS Lookup'!$B$6:$B$2819,$G2709))</f>
        <v/>
      </c>
      <c r="C2709" s="17"/>
      <c r="D2709" s="6"/>
      <c r="E2709" s="7" t="str">
        <f>IF($G2709="","",INDEX('EDS Lookup'!$F$6:$F$2819,$G2709))</f>
        <v/>
      </c>
      <c r="F2709" s="8" t="str">
        <f>IF($G2709="","",INDEX('EDS Lookup'!$G$6:$G$2819,$G2709))</f>
        <v/>
      </c>
      <c r="G2709" t="str">
        <f>IF(2686&lt;=$B$4,IFERROR(MATCH(2686,'EDS Lookup'!$H$6:$H$2819,0),""),"")</f>
        <v/>
      </c>
      <c r="H2709" t="str">
        <f t="shared" si="41"/>
        <v/>
      </c>
    </row>
    <row r="2710" spans="1:8" ht="19.95" customHeight="1">
      <c r="A2710" s="5" t="str">
        <f>IF($G2710="","",INDEX('EDS Lookup'!$D$6:$D$2819,$G2710))</f>
        <v/>
      </c>
      <c r="B2710" s="5" t="str">
        <f>IF($G2710="","",INDEX('EDS Lookup'!$B$6:$B$2819,$G2710))</f>
        <v/>
      </c>
      <c r="C2710" s="17"/>
      <c r="D2710" s="6"/>
      <c r="E2710" s="7" t="str">
        <f>IF($G2710="","",INDEX('EDS Lookup'!$F$6:$F$2819,$G2710))</f>
        <v/>
      </c>
      <c r="F2710" s="8" t="str">
        <f>IF($G2710="","",INDEX('EDS Lookup'!$G$6:$G$2819,$G2710))</f>
        <v/>
      </c>
      <c r="G2710" t="str">
        <f>IF(2687&lt;=$B$4,IFERROR(MATCH(2687,'EDS Lookup'!$H$6:$H$2819,0),""),"")</f>
        <v/>
      </c>
      <c r="H2710" t="str">
        <f t="shared" si="41"/>
        <v/>
      </c>
    </row>
    <row r="2711" spans="1:8" ht="19.95" customHeight="1">
      <c r="A2711" s="5" t="str">
        <f>IF($G2711="","",INDEX('EDS Lookup'!$D$6:$D$2819,$G2711))</f>
        <v/>
      </c>
      <c r="B2711" s="5" t="str">
        <f>IF($G2711="","",INDEX('EDS Lookup'!$B$6:$B$2819,$G2711))</f>
        <v/>
      </c>
      <c r="C2711" s="17"/>
      <c r="D2711" s="6"/>
      <c r="E2711" s="7" t="str">
        <f>IF($G2711="","",INDEX('EDS Lookup'!$F$6:$F$2819,$G2711))</f>
        <v/>
      </c>
      <c r="F2711" s="8" t="str">
        <f>IF($G2711="","",INDEX('EDS Lookup'!$G$6:$G$2819,$G2711))</f>
        <v/>
      </c>
      <c r="G2711" t="str">
        <f>IF(2688&lt;=$B$4,IFERROR(MATCH(2688,'EDS Lookup'!$H$6:$H$2819,0),""),"")</f>
        <v/>
      </c>
      <c r="H2711" t="str">
        <f t="shared" si="41"/>
        <v/>
      </c>
    </row>
    <row r="2712" spans="1:8" ht="19.95" customHeight="1">
      <c r="A2712" s="5" t="str">
        <f>IF($G2712="","",INDEX('EDS Lookup'!$D$6:$D$2819,$G2712))</f>
        <v/>
      </c>
      <c r="B2712" s="5" t="str">
        <f>IF($G2712="","",INDEX('EDS Lookup'!$B$6:$B$2819,$G2712))</f>
        <v/>
      </c>
      <c r="C2712" s="17"/>
      <c r="D2712" s="6"/>
      <c r="E2712" s="7" t="str">
        <f>IF($G2712="","",INDEX('EDS Lookup'!$F$6:$F$2819,$G2712))</f>
        <v/>
      </c>
      <c r="F2712" s="8" t="str">
        <f>IF($G2712="","",INDEX('EDS Lookup'!$G$6:$G$2819,$G2712))</f>
        <v/>
      </c>
      <c r="G2712" t="str">
        <f>IF(2689&lt;=$B$4,IFERROR(MATCH(2689,'EDS Lookup'!$H$6:$H$2819,0),""),"")</f>
        <v/>
      </c>
      <c r="H2712" t="str">
        <f t="shared" ref="H2712:H2722" si="42">IF(F2712="&lt;5",5,IF(F2712="&gt;95",95,IF(ISNUMBER(F2712),F2712,"")))</f>
        <v/>
      </c>
    </row>
    <row r="2713" spans="1:8" ht="19.95" customHeight="1">
      <c r="A2713" s="5" t="str">
        <f>IF($G2713="","",INDEX('EDS Lookup'!$D$6:$D$2819,$G2713))</f>
        <v/>
      </c>
      <c r="B2713" s="5" t="str">
        <f>IF($G2713="","",INDEX('EDS Lookup'!$B$6:$B$2819,$G2713))</f>
        <v/>
      </c>
      <c r="C2713" s="17"/>
      <c r="D2713" s="6"/>
      <c r="E2713" s="7" t="str">
        <f>IF($G2713="","",INDEX('EDS Lookup'!$F$6:$F$2819,$G2713))</f>
        <v/>
      </c>
      <c r="F2713" s="8" t="str">
        <f>IF($G2713="","",INDEX('EDS Lookup'!$G$6:$G$2819,$G2713))</f>
        <v/>
      </c>
      <c r="G2713" t="str">
        <f>IF(2690&lt;=$B$4,IFERROR(MATCH(2690,'EDS Lookup'!$H$6:$H$2819,0),""),"")</f>
        <v/>
      </c>
      <c r="H2713" t="str">
        <f t="shared" si="42"/>
        <v/>
      </c>
    </row>
    <row r="2714" spans="1:8" ht="19.95" customHeight="1">
      <c r="A2714" s="5" t="str">
        <f>IF($G2714="","",INDEX('EDS Lookup'!$D$6:$D$2819,$G2714))</f>
        <v/>
      </c>
      <c r="B2714" s="5" t="str">
        <f>IF($G2714="","",INDEX('EDS Lookup'!$B$6:$B$2819,$G2714))</f>
        <v/>
      </c>
      <c r="C2714" s="17"/>
      <c r="D2714" s="6"/>
      <c r="E2714" s="7" t="str">
        <f>IF($G2714="","",INDEX('EDS Lookup'!$F$6:$F$2819,$G2714))</f>
        <v/>
      </c>
      <c r="F2714" s="8" t="str">
        <f>IF($G2714="","",INDEX('EDS Lookup'!$G$6:$G$2819,$G2714))</f>
        <v/>
      </c>
      <c r="G2714" t="str">
        <f>IF(2691&lt;=$B$4,IFERROR(MATCH(2691,'EDS Lookup'!$H$6:$H$2819,0),""),"")</f>
        <v/>
      </c>
      <c r="H2714" t="str">
        <f t="shared" si="42"/>
        <v/>
      </c>
    </row>
    <row r="2715" spans="1:8" ht="19.95" customHeight="1">
      <c r="A2715" s="5" t="str">
        <f>IF($G2715="","",INDEX('EDS Lookup'!$D$6:$D$2819,$G2715))</f>
        <v/>
      </c>
      <c r="B2715" s="5" t="str">
        <f>IF($G2715="","",INDEX('EDS Lookup'!$B$6:$B$2819,$G2715))</f>
        <v/>
      </c>
      <c r="C2715" s="17"/>
      <c r="D2715" s="6"/>
      <c r="E2715" s="7" t="str">
        <f>IF($G2715="","",INDEX('EDS Lookup'!$F$6:$F$2819,$G2715))</f>
        <v/>
      </c>
      <c r="F2715" s="8" t="str">
        <f>IF($G2715="","",INDEX('EDS Lookup'!$G$6:$G$2819,$G2715))</f>
        <v/>
      </c>
      <c r="G2715" t="str">
        <f>IF(2692&lt;=$B$4,IFERROR(MATCH(2692,'EDS Lookup'!$H$6:$H$2819,0),""),"")</f>
        <v/>
      </c>
      <c r="H2715" t="str">
        <f t="shared" si="42"/>
        <v/>
      </c>
    </row>
    <row r="2716" spans="1:8" ht="19.95" customHeight="1">
      <c r="A2716" s="5" t="str">
        <f>IF($G2716="","",INDEX('EDS Lookup'!$D$6:$D$2819,$G2716))</f>
        <v/>
      </c>
      <c r="B2716" s="5" t="str">
        <f>IF($G2716="","",INDEX('EDS Lookup'!$B$6:$B$2819,$G2716))</f>
        <v/>
      </c>
      <c r="C2716" s="17"/>
      <c r="D2716" s="6"/>
      <c r="E2716" s="7" t="str">
        <f>IF($G2716="","",INDEX('EDS Lookup'!$F$6:$F$2819,$G2716))</f>
        <v/>
      </c>
      <c r="F2716" s="8" t="str">
        <f>IF($G2716="","",INDEX('EDS Lookup'!$G$6:$G$2819,$G2716))</f>
        <v/>
      </c>
      <c r="G2716" t="str">
        <f>IF(2693&lt;=$B$4,IFERROR(MATCH(2693,'EDS Lookup'!$H$6:$H$2819,0),""),"")</f>
        <v/>
      </c>
      <c r="H2716" t="str">
        <f t="shared" si="42"/>
        <v/>
      </c>
    </row>
    <row r="2717" spans="1:8" ht="19.95" customHeight="1">
      <c r="A2717" s="5" t="str">
        <f>IF($G2717="","",INDEX('EDS Lookup'!$D$6:$D$2819,$G2717))</f>
        <v/>
      </c>
      <c r="B2717" s="5" t="str">
        <f>IF($G2717="","",INDEX('EDS Lookup'!$B$6:$B$2819,$G2717))</f>
        <v/>
      </c>
      <c r="C2717" s="17"/>
      <c r="D2717" s="6"/>
      <c r="E2717" s="7" t="str">
        <f>IF($G2717="","",INDEX('EDS Lookup'!$F$6:$F$2819,$G2717))</f>
        <v/>
      </c>
      <c r="F2717" s="8" t="str">
        <f>IF($G2717="","",INDEX('EDS Lookup'!$G$6:$G$2819,$G2717))</f>
        <v/>
      </c>
      <c r="G2717" t="str">
        <f>IF(2694&lt;=$B$4,IFERROR(MATCH(2694,'EDS Lookup'!$H$6:$H$2819,0),""),"")</f>
        <v/>
      </c>
      <c r="H2717" t="str">
        <f t="shared" si="42"/>
        <v/>
      </c>
    </row>
    <row r="2718" spans="1:8" ht="19.95" customHeight="1">
      <c r="A2718" s="5" t="str">
        <f>IF($G2718="","",INDEX('EDS Lookup'!$D$6:$D$2819,$G2718))</f>
        <v/>
      </c>
      <c r="B2718" s="5" t="str">
        <f>IF($G2718="","",INDEX('EDS Lookup'!$B$6:$B$2819,$G2718))</f>
        <v/>
      </c>
      <c r="C2718" s="17"/>
      <c r="D2718" s="6"/>
      <c r="E2718" s="7" t="str">
        <f>IF($G2718="","",INDEX('EDS Lookup'!$F$6:$F$2819,$G2718))</f>
        <v/>
      </c>
      <c r="F2718" s="8" t="str">
        <f>IF($G2718="","",INDEX('EDS Lookup'!$G$6:$G$2819,$G2718))</f>
        <v/>
      </c>
      <c r="G2718" t="str">
        <f>IF(2695&lt;=$B$4,IFERROR(MATCH(2695,'EDS Lookup'!$H$6:$H$2819,0),""),"")</f>
        <v/>
      </c>
      <c r="H2718" t="str">
        <f t="shared" si="42"/>
        <v/>
      </c>
    </row>
    <row r="2719" spans="1:8" ht="19.95" customHeight="1">
      <c r="A2719" s="5" t="str">
        <f>IF($G2719="","",INDEX('EDS Lookup'!$D$6:$D$2819,$G2719))</f>
        <v/>
      </c>
      <c r="B2719" s="5" t="str">
        <f>IF($G2719="","",INDEX('EDS Lookup'!$B$6:$B$2819,$G2719))</f>
        <v/>
      </c>
      <c r="C2719" s="17"/>
      <c r="D2719" s="6"/>
      <c r="E2719" s="7" t="str">
        <f>IF($G2719="","",INDEX('EDS Lookup'!$F$6:$F$2819,$G2719))</f>
        <v/>
      </c>
      <c r="F2719" s="8" t="str">
        <f>IF($G2719="","",INDEX('EDS Lookup'!$G$6:$G$2819,$G2719))</f>
        <v/>
      </c>
      <c r="G2719" t="str">
        <f>IF(2696&lt;=$B$4,IFERROR(MATCH(2696,'EDS Lookup'!$H$6:$H$2819,0),""),"")</f>
        <v/>
      </c>
      <c r="H2719" t="str">
        <f t="shared" si="42"/>
        <v/>
      </c>
    </row>
    <row r="2720" spans="1:8" ht="19.95" customHeight="1">
      <c r="A2720" s="5" t="str">
        <f>IF($G2720="","",INDEX('EDS Lookup'!$D$6:$D$2819,$G2720))</f>
        <v/>
      </c>
      <c r="B2720" s="5" t="str">
        <f>IF($G2720="","",INDEX('EDS Lookup'!$B$6:$B$2819,$G2720))</f>
        <v/>
      </c>
      <c r="C2720" s="17"/>
      <c r="D2720" s="6"/>
      <c r="E2720" s="7" t="str">
        <f>IF($G2720="","",INDEX('EDS Lookup'!$F$6:$F$2819,$G2720))</f>
        <v/>
      </c>
      <c r="F2720" s="8" t="str">
        <f>IF($G2720="","",INDEX('EDS Lookup'!$G$6:$G$2819,$G2720))</f>
        <v/>
      </c>
      <c r="G2720" t="str">
        <f>IF(2697&lt;=$B$4,IFERROR(MATCH(2697,'EDS Lookup'!$H$6:$H$2819,0),""),"")</f>
        <v/>
      </c>
      <c r="H2720" t="str">
        <f t="shared" si="42"/>
        <v/>
      </c>
    </row>
    <row r="2721" spans="1:8" ht="19.95" customHeight="1">
      <c r="A2721" s="5" t="str">
        <f>IF($G2721="","",INDEX('EDS Lookup'!$D$6:$D$2819,$G2721))</f>
        <v/>
      </c>
      <c r="B2721" s="5" t="str">
        <f>IF($G2721="","",INDEX('EDS Lookup'!$B$6:$B$2819,$G2721))</f>
        <v/>
      </c>
      <c r="C2721" s="17"/>
      <c r="D2721" s="6"/>
      <c r="E2721" s="7" t="str">
        <f>IF($G2721="","",INDEX('EDS Lookup'!$F$6:$F$2819,$G2721))</f>
        <v/>
      </c>
      <c r="F2721" s="8" t="str">
        <f>IF($G2721="","",INDEX('EDS Lookup'!$G$6:$G$2819,$G2721))</f>
        <v/>
      </c>
      <c r="G2721" t="str">
        <f>IF(2698&lt;=$B$4,IFERROR(MATCH(2698,'EDS Lookup'!$H$6:$H$2819,0),""),"")</f>
        <v/>
      </c>
      <c r="H2721" t="str">
        <f t="shared" si="42"/>
        <v/>
      </c>
    </row>
    <row r="2722" spans="1:8" ht="19.95" customHeight="1">
      <c r="A2722" s="5" t="str">
        <f>IF($G2722="","",INDEX('EDS Lookup'!$D$6:$D$2819,$G2722))</f>
        <v/>
      </c>
      <c r="B2722" s="5" t="str">
        <f>IF($G2722="","",INDEX('EDS Lookup'!$B$6:$B$2819,$G2722))</f>
        <v/>
      </c>
      <c r="C2722" s="17"/>
      <c r="D2722" s="6"/>
      <c r="E2722" s="7" t="str">
        <f>IF($G2722="","",INDEX('EDS Lookup'!$F$6:$F$2819,$G2722))</f>
        <v/>
      </c>
      <c r="F2722" s="8" t="str">
        <f>IF($G2722="","",INDEX('EDS Lookup'!$G$6:$G$2819,$G2722))</f>
        <v/>
      </c>
      <c r="G2722" t="str">
        <f>IF(2699&lt;=$B$4,IFERROR(MATCH(2699,'EDS Lookup'!$H$6:$H$2819,0),""),"")</f>
        <v/>
      </c>
      <c r="H2722" t="str">
        <f t="shared" si="42"/>
        <v/>
      </c>
    </row>
  </sheetData>
  <mergeCells count="42">
    <mergeCell ref="A21:F21"/>
    <mergeCell ref="A19:B19"/>
    <mergeCell ref="C19:D19"/>
    <mergeCell ref="E19:F19"/>
    <mergeCell ref="A20:B20"/>
    <mergeCell ref="C20:D20"/>
    <mergeCell ref="E20:F20"/>
    <mergeCell ref="A17:B17"/>
    <mergeCell ref="C17:D17"/>
    <mergeCell ref="E17:F17"/>
    <mergeCell ref="A18:B18"/>
    <mergeCell ref="C18:D18"/>
    <mergeCell ref="E18:F18"/>
    <mergeCell ref="A15:B15"/>
    <mergeCell ref="C15:D15"/>
    <mergeCell ref="E15:F15"/>
    <mergeCell ref="A16:B16"/>
    <mergeCell ref="C16:D16"/>
    <mergeCell ref="E16:F16"/>
    <mergeCell ref="A13:B13"/>
    <mergeCell ref="C13:D13"/>
    <mergeCell ref="E13:F13"/>
    <mergeCell ref="A14:B14"/>
    <mergeCell ref="C14:D14"/>
    <mergeCell ref="E14:F14"/>
    <mergeCell ref="A11:B11"/>
    <mergeCell ref="C11:D11"/>
    <mergeCell ref="E11:F11"/>
    <mergeCell ref="A12:B12"/>
    <mergeCell ref="C12:D12"/>
    <mergeCell ref="E12:F12"/>
    <mergeCell ref="B6:E6"/>
    <mergeCell ref="A8:F8"/>
    <mergeCell ref="A9:F9"/>
    <mergeCell ref="A10:B10"/>
    <mergeCell ref="C10:D10"/>
    <mergeCell ref="E10:F10"/>
    <mergeCell ref="A1:F1"/>
    <mergeCell ref="A2:F2"/>
    <mergeCell ref="A3:F3"/>
    <mergeCell ref="B4:E4"/>
    <mergeCell ref="B5:E5"/>
  </mergeCells>
  <dataValidations count="1">
    <dataValidation type="list" sqref="C24:C2722" xr:uid="{00000000-0002-0000-0000-000000000000}">
      <formula1>"Public,Charter,Private,Other"</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19"/>
  <sheetViews>
    <sheetView zoomScale="85" zoomScaleNormal="85" workbookViewId="0">
      <selection activeCell="A111" sqref="A111"/>
    </sheetView>
  </sheetViews>
  <sheetFormatPr defaultRowHeight="13.8"/>
  <cols>
    <col min="1" max="1" width="14.69921875" customWidth="1"/>
    <col min="2" max="2" width="32" customWidth="1"/>
    <col min="3" max="3" width="16" customWidth="1"/>
    <col min="4" max="4" width="34" customWidth="1"/>
    <col min="5" max="6" width="14" customWidth="1"/>
    <col min="7" max="7" width="16" customWidth="1"/>
    <col min="8" max="8" width="16" hidden="1" customWidth="1"/>
  </cols>
  <sheetData>
    <row r="1" spans="1:8" ht="31.95" customHeight="1">
      <c r="A1" s="28" t="s">
        <v>19</v>
      </c>
      <c r="B1" s="28"/>
      <c r="C1" s="28"/>
      <c r="D1" s="28"/>
      <c r="E1" s="28"/>
      <c r="F1" s="28"/>
      <c r="G1" s="28"/>
      <c r="H1" s="28"/>
    </row>
    <row r="2" spans="1:8" ht="234.6" customHeight="1">
      <c r="A2" s="20" t="s">
        <v>20</v>
      </c>
      <c r="B2" s="21"/>
      <c r="C2" s="21"/>
      <c r="D2" s="21"/>
      <c r="E2" s="21"/>
      <c r="F2" s="22"/>
    </row>
    <row r="3" spans="1:8" ht="90" customHeight="1">
      <c r="A3" s="29" t="s">
        <v>21</v>
      </c>
      <c r="B3" s="29"/>
      <c r="C3" s="29"/>
      <c r="D3" s="29"/>
      <c r="E3" s="29"/>
      <c r="F3" s="29"/>
    </row>
    <row r="5" spans="1:8" ht="30" customHeight="1">
      <c r="A5" s="10" t="s">
        <v>22</v>
      </c>
      <c r="B5" s="11" t="s">
        <v>12</v>
      </c>
      <c r="C5" s="11" t="s">
        <v>23</v>
      </c>
      <c r="D5" s="11" t="s">
        <v>24</v>
      </c>
      <c r="E5" s="11" t="s">
        <v>25</v>
      </c>
      <c r="F5" s="11" t="s">
        <v>15</v>
      </c>
      <c r="G5" s="11" t="s">
        <v>26</v>
      </c>
      <c r="H5" s="12" t="s">
        <v>27</v>
      </c>
    </row>
    <row r="6" spans="1:8">
      <c r="A6" s="13"/>
      <c r="B6" s="1" t="s">
        <v>28</v>
      </c>
      <c r="C6" s="1" t="s">
        <v>24</v>
      </c>
      <c r="D6" s="1" t="s">
        <v>28</v>
      </c>
      <c r="E6" s="1" t="s">
        <v>29</v>
      </c>
      <c r="F6" s="2">
        <v>439</v>
      </c>
      <c r="G6" s="3">
        <v>61.3</v>
      </c>
      <c r="H6" s="4" t="str">
        <f>IF(AND(A6="Yes",C6="School"),COUNTIFS($A$6:A6,"Yes",$C$6:C6,"School"),"")</f>
        <v/>
      </c>
    </row>
    <row r="7" spans="1:8">
      <c r="A7" s="13"/>
      <c r="B7" s="1" t="s">
        <v>30</v>
      </c>
      <c r="C7" s="1" t="s">
        <v>24</v>
      </c>
      <c r="D7" s="1" t="s">
        <v>30</v>
      </c>
      <c r="E7" s="1" t="s">
        <v>31</v>
      </c>
      <c r="F7" s="2">
        <v>193</v>
      </c>
      <c r="G7" s="3">
        <v>46.1</v>
      </c>
      <c r="H7" s="4" t="str">
        <f>IF(AND(A7="Yes",C7="School"),COUNTIFS($A$6:A7,"Yes",$C$6:C7,"School"),"")</f>
        <v/>
      </c>
    </row>
    <row r="8" spans="1:8">
      <c r="A8" s="13"/>
      <c r="B8" s="1" t="s">
        <v>32</v>
      </c>
      <c r="C8" s="1" t="s">
        <v>24</v>
      </c>
      <c r="D8" s="1" t="s">
        <v>32</v>
      </c>
      <c r="E8" s="1" t="s">
        <v>33</v>
      </c>
      <c r="F8" s="2">
        <v>76</v>
      </c>
      <c r="G8" s="3" t="s">
        <v>34</v>
      </c>
      <c r="H8" s="4" t="str">
        <f>IF(AND(A8="Yes",C8="School"),COUNTIFS($A$6:A8,"Yes",$C$6:C8,"School"),"")</f>
        <v/>
      </c>
    </row>
    <row r="9" spans="1:8">
      <c r="A9" s="13"/>
      <c r="B9" s="1" t="s">
        <v>35</v>
      </c>
      <c r="C9" s="1" t="s">
        <v>24</v>
      </c>
      <c r="D9" s="1" t="s">
        <v>35</v>
      </c>
      <c r="E9" s="1" t="s">
        <v>36</v>
      </c>
      <c r="F9" s="2">
        <v>286</v>
      </c>
      <c r="G9" s="3">
        <v>43</v>
      </c>
      <c r="H9" s="4" t="str">
        <f>IF(AND(A9="Yes",C9="School"),COUNTIFS($A$6:A9,"Yes",$C$6:C9,"School"),"")</f>
        <v/>
      </c>
    </row>
    <row r="10" spans="1:8">
      <c r="A10" s="13"/>
      <c r="B10" s="1" t="s">
        <v>37</v>
      </c>
      <c r="C10" s="1" t="s">
        <v>24</v>
      </c>
      <c r="D10" s="1" t="s">
        <v>37</v>
      </c>
      <c r="E10" s="1" t="s">
        <v>38</v>
      </c>
      <c r="F10" s="2">
        <v>761</v>
      </c>
      <c r="G10" s="3">
        <v>45.9</v>
      </c>
      <c r="H10" s="4" t="str">
        <f>IF(AND(A10="Yes",C10="School"),COUNTIFS($A$6:A10,"Yes",$C$6:C10,"School"),"")</f>
        <v/>
      </c>
    </row>
    <row r="11" spans="1:8">
      <c r="A11" s="13"/>
      <c r="B11" s="1" t="s">
        <v>39</v>
      </c>
      <c r="C11" s="1" t="s">
        <v>40</v>
      </c>
      <c r="D11" s="1" t="s">
        <v>41</v>
      </c>
      <c r="E11" s="1" t="s">
        <v>42</v>
      </c>
      <c r="F11" s="2">
        <v>22216</v>
      </c>
      <c r="G11" s="3">
        <v>59.3</v>
      </c>
      <c r="H11" s="4" t="str">
        <f>IF(AND(A11="Yes",C11="School"),COUNTIFS($A$6:A11,"Yes",$C$6:C11,"School"),"")</f>
        <v/>
      </c>
    </row>
    <row r="12" spans="1:8">
      <c r="A12" s="13"/>
      <c r="B12" s="1" t="s">
        <v>39</v>
      </c>
      <c r="C12" s="1" t="s">
        <v>24</v>
      </c>
      <c r="D12" s="1" t="s">
        <v>43</v>
      </c>
      <c r="E12" s="1" t="s">
        <v>44</v>
      </c>
      <c r="F12" s="2">
        <v>248</v>
      </c>
      <c r="G12" s="3">
        <v>36.299999999999997</v>
      </c>
      <c r="H12" s="4" t="str">
        <f>IF(AND(A12="Yes",C12="School"),COUNTIFS($A$6:A12,"Yes",$C$6:C12,"School"),"")</f>
        <v/>
      </c>
    </row>
    <row r="13" spans="1:8">
      <c r="A13" s="13"/>
      <c r="B13" s="1" t="s">
        <v>39</v>
      </c>
      <c r="C13" s="1" t="s">
        <v>24</v>
      </c>
      <c r="D13" s="1" t="s">
        <v>45</v>
      </c>
      <c r="E13" s="1" t="s">
        <v>46</v>
      </c>
      <c r="F13" s="2">
        <v>177</v>
      </c>
      <c r="G13" s="3">
        <v>58.2</v>
      </c>
      <c r="H13" s="4" t="str">
        <f>IF(AND(A13="Yes",C13="School"),COUNTIFS($A$6:A13,"Yes",$C$6:C13,"School"),"")</f>
        <v/>
      </c>
    </row>
    <row r="14" spans="1:8">
      <c r="A14" s="13"/>
      <c r="B14" s="1" t="s">
        <v>39</v>
      </c>
      <c r="C14" s="1" t="s">
        <v>24</v>
      </c>
      <c r="D14" s="1" t="s">
        <v>47</v>
      </c>
      <c r="E14" s="1" t="s">
        <v>48</v>
      </c>
      <c r="F14" s="2">
        <v>605</v>
      </c>
      <c r="G14" s="3">
        <v>46.1</v>
      </c>
      <c r="H14" s="4" t="str">
        <f>IF(AND(A14="Yes",C14="School"),COUNTIFS($A$6:A14,"Yes",$C$6:C14,"School"),"")</f>
        <v/>
      </c>
    </row>
    <row r="15" spans="1:8">
      <c r="A15" s="13"/>
      <c r="B15" s="1" t="s">
        <v>39</v>
      </c>
      <c r="C15" s="1" t="s">
        <v>24</v>
      </c>
      <c r="D15" s="1" t="s">
        <v>49</v>
      </c>
      <c r="E15" s="1" t="s">
        <v>50</v>
      </c>
      <c r="F15" s="2">
        <v>611</v>
      </c>
      <c r="G15" s="3">
        <v>49.1</v>
      </c>
      <c r="H15" s="4" t="str">
        <f>IF(AND(A15="Yes",C15="School"),COUNTIFS($A$6:A15,"Yes",$C$6:C15,"School"),"")</f>
        <v/>
      </c>
    </row>
    <row r="16" spans="1:8">
      <c r="A16" s="13"/>
      <c r="B16" s="1" t="s">
        <v>39</v>
      </c>
      <c r="C16" s="1" t="s">
        <v>24</v>
      </c>
      <c r="D16" s="1" t="s">
        <v>51</v>
      </c>
      <c r="E16" s="1" t="s">
        <v>52</v>
      </c>
      <c r="F16" s="2">
        <v>831</v>
      </c>
      <c r="G16" s="3">
        <v>44.3</v>
      </c>
      <c r="H16" s="4" t="str">
        <f>IF(AND(A16="Yes",C16="School"),COUNTIFS($A$6:A16,"Yes",$C$6:C16,"School"),"")</f>
        <v/>
      </c>
    </row>
    <row r="17" spans="1:8">
      <c r="A17" s="13"/>
      <c r="B17" s="1" t="s">
        <v>39</v>
      </c>
      <c r="C17" s="1" t="s">
        <v>24</v>
      </c>
      <c r="D17" s="1" t="s">
        <v>53</v>
      </c>
      <c r="E17" s="1" t="s">
        <v>54</v>
      </c>
      <c r="F17" s="2">
        <v>329</v>
      </c>
      <c r="G17" s="3">
        <v>60.5</v>
      </c>
      <c r="H17" s="4" t="str">
        <f>IF(AND(A17="Yes",C17="School"),COUNTIFS($A$6:A17,"Yes",$C$6:C17,"School"),"")</f>
        <v/>
      </c>
    </row>
    <row r="18" spans="1:8">
      <c r="A18" s="13"/>
      <c r="B18" s="1" t="s">
        <v>39</v>
      </c>
      <c r="C18" s="1" t="s">
        <v>24</v>
      </c>
      <c r="D18" s="1" t="s">
        <v>55</v>
      </c>
      <c r="E18" s="1" t="s">
        <v>56</v>
      </c>
      <c r="F18" s="2">
        <v>480</v>
      </c>
      <c r="G18" s="3">
        <v>71.5</v>
      </c>
      <c r="H18" s="4" t="str">
        <f>IF(AND(A18="Yes",C18="School"),COUNTIFS($A$6:A18,"Yes",$C$6:C18,"School"),"")</f>
        <v/>
      </c>
    </row>
    <row r="19" spans="1:8">
      <c r="A19" s="13"/>
      <c r="B19" s="1" t="s">
        <v>39</v>
      </c>
      <c r="C19" s="1" t="s">
        <v>24</v>
      </c>
      <c r="D19" s="1" t="s">
        <v>57</v>
      </c>
      <c r="E19" s="1" t="s">
        <v>58</v>
      </c>
      <c r="F19" s="2">
        <v>339</v>
      </c>
      <c r="G19" s="3">
        <v>45.4</v>
      </c>
      <c r="H19" s="4" t="str">
        <f>IF(AND(A19="Yes",C19="School"),COUNTIFS($A$6:A19,"Yes",$C$6:C19,"School"),"")</f>
        <v/>
      </c>
    </row>
    <row r="20" spans="1:8">
      <c r="A20" s="13"/>
      <c r="B20" s="1" t="s">
        <v>39</v>
      </c>
      <c r="C20" s="1" t="s">
        <v>24</v>
      </c>
      <c r="D20" s="1" t="s">
        <v>59</v>
      </c>
      <c r="E20" s="1" t="s">
        <v>60</v>
      </c>
      <c r="F20" s="2">
        <v>878</v>
      </c>
      <c r="G20" s="3">
        <v>51.3</v>
      </c>
      <c r="H20" s="4" t="str">
        <f>IF(AND(A20="Yes",C20="School"),COUNTIFS($A$6:A20,"Yes",$C$6:C20,"School"),"")</f>
        <v/>
      </c>
    </row>
    <row r="21" spans="1:8">
      <c r="A21" s="13"/>
      <c r="B21" s="1" t="s">
        <v>39</v>
      </c>
      <c r="C21" s="1" t="s">
        <v>24</v>
      </c>
      <c r="D21" s="1" t="s">
        <v>61</v>
      </c>
      <c r="E21" s="1" t="s">
        <v>62</v>
      </c>
      <c r="F21" s="2">
        <v>506</v>
      </c>
      <c r="G21" s="3">
        <v>76.3</v>
      </c>
      <c r="H21" s="4" t="str">
        <f>IF(AND(A21="Yes",C21="School"),COUNTIFS($A$6:A21,"Yes",$C$6:C21,"School"),"")</f>
        <v/>
      </c>
    </row>
    <row r="22" spans="1:8">
      <c r="A22" s="13"/>
      <c r="B22" s="1" t="s">
        <v>39</v>
      </c>
      <c r="C22" s="1" t="s">
        <v>24</v>
      </c>
      <c r="D22" s="1" t="s">
        <v>63</v>
      </c>
      <c r="E22" s="1" t="s">
        <v>64</v>
      </c>
      <c r="F22" s="2">
        <v>483</v>
      </c>
      <c r="G22" s="3">
        <v>53</v>
      </c>
      <c r="H22" s="4" t="str">
        <f>IF(AND(A22="Yes",C22="School"),COUNTIFS($A$6:A22,"Yes",$C$6:C22,"School"),"")</f>
        <v/>
      </c>
    </row>
    <row r="23" spans="1:8">
      <c r="A23" s="13"/>
      <c r="B23" s="1" t="s">
        <v>39</v>
      </c>
      <c r="C23" s="1" t="s">
        <v>24</v>
      </c>
      <c r="D23" s="1" t="s">
        <v>65</v>
      </c>
      <c r="E23" s="1" t="s">
        <v>66</v>
      </c>
      <c r="F23" s="2">
        <v>679</v>
      </c>
      <c r="G23" s="3">
        <v>53.2</v>
      </c>
      <c r="H23" s="4" t="str">
        <f>IF(AND(A23="Yes",C23="School"),COUNTIFS($A$6:A23,"Yes",$C$6:C23,"School"),"")</f>
        <v/>
      </c>
    </row>
    <row r="24" spans="1:8">
      <c r="A24" s="13"/>
      <c r="B24" s="1" t="s">
        <v>39</v>
      </c>
      <c r="C24" s="1" t="s">
        <v>24</v>
      </c>
      <c r="D24" s="1" t="s">
        <v>67</v>
      </c>
      <c r="E24" s="1" t="s">
        <v>68</v>
      </c>
      <c r="F24" s="2">
        <v>772</v>
      </c>
      <c r="G24" s="3">
        <v>67.7</v>
      </c>
      <c r="H24" s="4" t="str">
        <f>IF(AND(A24="Yes",C24="School"),COUNTIFS($A$6:A24,"Yes",$C$6:C24,"School"),"")</f>
        <v/>
      </c>
    </row>
    <row r="25" spans="1:8">
      <c r="A25" s="13"/>
      <c r="B25" s="1" t="s">
        <v>39</v>
      </c>
      <c r="C25" s="1" t="s">
        <v>24</v>
      </c>
      <c r="D25" s="1" t="s">
        <v>69</v>
      </c>
      <c r="E25" s="1" t="s">
        <v>70</v>
      </c>
      <c r="F25" s="2">
        <v>553</v>
      </c>
      <c r="G25" s="3">
        <v>77.2</v>
      </c>
      <c r="H25" s="4" t="str">
        <f>IF(AND(A25="Yes",C25="School"),COUNTIFS($A$6:A25,"Yes",$C$6:C25,"School"),"")</f>
        <v/>
      </c>
    </row>
    <row r="26" spans="1:8">
      <c r="A26" s="13"/>
      <c r="B26" s="1" t="s">
        <v>39</v>
      </c>
      <c r="C26" s="1" t="s">
        <v>24</v>
      </c>
      <c r="D26" s="1" t="s">
        <v>71</v>
      </c>
      <c r="E26" s="1" t="s">
        <v>72</v>
      </c>
      <c r="F26" s="2">
        <v>405</v>
      </c>
      <c r="G26" s="3">
        <v>81</v>
      </c>
      <c r="H26" s="4" t="str">
        <f>IF(AND(A26="Yes",C26="School"),COUNTIFS($A$6:A26,"Yes",$C$6:C26,"School"),"")</f>
        <v/>
      </c>
    </row>
    <row r="27" spans="1:8">
      <c r="A27" s="13"/>
      <c r="B27" s="1" t="s">
        <v>39</v>
      </c>
      <c r="C27" s="1" t="s">
        <v>24</v>
      </c>
      <c r="D27" s="1" t="s">
        <v>73</v>
      </c>
      <c r="E27" s="1" t="s">
        <v>74</v>
      </c>
      <c r="F27" s="2">
        <v>487</v>
      </c>
      <c r="G27" s="3">
        <v>74.3</v>
      </c>
      <c r="H27" s="4" t="str">
        <f>IF(AND(A27="Yes",C27="School"),COUNTIFS($A$6:A27,"Yes",$C$6:C27,"School"),"")</f>
        <v/>
      </c>
    </row>
    <row r="28" spans="1:8">
      <c r="A28" s="13"/>
      <c r="B28" s="1" t="s">
        <v>39</v>
      </c>
      <c r="C28" s="1" t="s">
        <v>24</v>
      </c>
      <c r="D28" s="1" t="s">
        <v>75</v>
      </c>
      <c r="E28" s="1" t="s">
        <v>76</v>
      </c>
      <c r="F28" s="2">
        <v>487</v>
      </c>
      <c r="G28" s="3">
        <v>77</v>
      </c>
      <c r="H28" s="4" t="str">
        <f>IF(AND(A28="Yes",C28="School"),COUNTIFS($A$6:A28,"Yes",$C$6:C28,"School"),"")</f>
        <v/>
      </c>
    </row>
    <row r="29" spans="1:8">
      <c r="A29" s="13"/>
      <c r="B29" s="1" t="s">
        <v>39</v>
      </c>
      <c r="C29" s="1" t="s">
        <v>24</v>
      </c>
      <c r="D29" s="1" t="s">
        <v>77</v>
      </c>
      <c r="E29" s="1" t="s">
        <v>78</v>
      </c>
      <c r="F29" s="2">
        <v>926</v>
      </c>
      <c r="G29" s="3">
        <v>41.5</v>
      </c>
      <c r="H29" s="4" t="str">
        <f>IF(AND(A29="Yes",C29="School"),COUNTIFS($A$6:A29,"Yes",$C$6:C29,"School"),"")</f>
        <v/>
      </c>
    </row>
    <row r="30" spans="1:8">
      <c r="A30" s="13"/>
      <c r="B30" s="1" t="s">
        <v>39</v>
      </c>
      <c r="C30" s="1" t="s">
        <v>24</v>
      </c>
      <c r="D30" s="1" t="s">
        <v>79</v>
      </c>
      <c r="E30" s="1" t="s">
        <v>80</v>
      </c>
      <c r="F30" s="2">
        <v>670</v>
      </c>
      <c r="G30" s="3">
        <v>61</v>
      </c>
      <c r="H30" s="4" t="str">
        <f>IF(AND(A30="Yes",C30="School"),COUNTIFS($A$6:A30,"Yes",$C$6:C30,"School"),"")</f>
        <v/>
      </c>
    </row>
    <row r="31" spans="1:8">
      <c r="A31" s="13"/>
      <c r="B31" s="1" t="s">
        <v>39</v>
      </c>
      <c r="C31" s="1" t="s">
        <v>24</v>
      </c>
      <c r="D31" s="1" t="s">
        <v>81</v>
      </c>
      <c r="E31" s="1" t="s">
        <v>82</v>
      </c>
      <c r="F31" s="2">
        <v>570</v>
      </c>
      <c r="G31" s="3">
        <v>77</v>
      </c>
      <c r="H31" s="4" t="str">
        <f>IF(AND(A31="Yes",C31="School"),COUNTIFS($A$6:A31,"Yes",$C$6:C31,"School"),"")</f>
        <v/>
      </c>
    </row>
    <row r="32" spans="1:8">
      <c r="A32" s="13"/>
      <c r="B32" s="1" t="s">
        <v>39</v>
      </c>
      <c r="C32" s="1" t="s">
        <v>24</v>
      </c>
      <c r="D32" s="1" t="s">
        <v>83</v>
      </c>
      <c r="E32" s="1" t="s">
        <v>84</v>
      </c>
      <c r="F32" s="2">
        <v>669</v>
      </c>
      <c r="G32" s="3">
        <v>72</v>
      </c>
      <c r="H32" s="4" t="str">
        <f>IF(AND(A32="Yes",C32="School"),COUNTIFS($A$6:A32,"Yes",$C$6:C32,"School"),"")</f>
        <v/>
      </c>
    </row>
    <row r="33" spans="1:8">
      <c r="A33" s="13"/>
      <c r="B33" s="1" t="s">
        <v>39</v>
      </c>
      <c r="C33" s="1" t="s">
        <v>24</v>
      </c>
      <c r="D33" s="1" t="s">
        <v>85</v>
      </c>
      <c r="E33" s="1" t="s">
        <v>86</v>
      </c>
      <c r="F33" s="2">
        <v>547</v>
      </c>
      <c r="G33" s="3">
        <v>52.8</v>
      </c>
      <c r="H33" s="4" t="str">
        <f>IF(AND(A33="Yes",C33="School"),COUNTIFS($A$6:A33,"Yes",$C$6:C33,"School"),"")</f>
        <v/>
      </c>
    </row>
    <row r="34" spans="1:8">
      <c r="A34" s="13"/>
      <c r="B34" s="1" t="s">
        <v>39</v>
      </c>
      <c r="C34" s="1" t="s">
        <v>24</v>
      </c>
      <c r="D34" s="1" t="s">
        <v>87</v>
      </c>
      <c r="E34" s="1" t="s">
        <v>88</v>
      </c>
      <c r="F34" s="2">
        <v>302</v>
      </c>
      <c r="G34" s="3">
        <v>75.5</v>
      </c>
      <c r="H34" s="4" t="str">
        <f>IF(AND(A34="Yes",C34="School"),COUNTIFS($A$6:A34,"Yes",$C$6:C34,"School"),"")</f>
        <v/>
      </c>
    </row>
    <row r="35" spans="1:8">
      <c r="A35" s="13"/>
      <c r="B35" s="1" t="s">
        <v>39</v>
      </c>
      <c r="C35" s="1" t="s">
        <v>24</v>
      </c>
      <c r="D35" s="1" t="s">
        <v>89</v>
      </c>
      <c r="E35" s="1" t="s">
        <v>90</v>
      </c>
      <c r="F35" s="2">
        <v>251</v>
      </c>
      <c r="G35" s="3">
        <v>71.7</v>
      </c>
      <c r="H35" s="4" t="str">
        <f>IF(AND(A35="Yes",C35="School"),COUNTIFS($A$6:A35,"Yes",$C$6:C35,"School"),"")</f>
        <v/>
      </c>
    </row>
    <row r="36" spans="1:8">
      <c r="A36" s="13"/>
      <c r="B36" s="1" t="s">
        <v>39</v>
      </c>
      <c r="C36" s="1" t="s">
        <v>24</v>
      </c>
      <c r="D36" s="1" t="s">
        <v>91</v>
      </c>
      <c r="E36" s="1" t="s">
        <v>92</v>
      </c>
      <c r="F36" s="2">
        <v>530</v>
      </c>
      <c r="G36" s="3">
        <v>76.8</v>
      </c>
      <c r="H36" s="4" t="str">
        <f>IF(AND(A36="Yes",C36="School"),COUNTIFS($A$6:A36,"Yes",$C$6:C36,"School"),"")</f>
        <v/>
      </c>
    </row>
    <row r="37" spans="1:8">
      <c r="A37" s="13"/>
      <c r="B37" s="1" t="s">
        <v>39</v>
      </c>
      <c r="C37" s="1" t="s">
        <v>24</v>
      </c>
      <c r="D37" s="1" t="s">
        <v>93</v>
      </c>
      <c r="E37" s="1" t="s">
        <v>94</v>
      </c>
      <c r="F37" s="2">
        <v>107</v>
      </c>
      <c r="G37" s="3">
        <v>86</v>
      </c>
      <c r="H37" s="4" t="str">
        <f>IF(AND(A37="Yes",C37="School"),COUNTIFS($A$6:A37,"Yes",$C$6:C37,"School"),"")</f>
        <v/>
      </c>
    </row>
    <row r="38" spans="1:8">
      <c r="A38" s="13"/>
      <c r="B38" s="1" t="s">
        <v>39</v>
      </c>
      <c r="C38" s="1" t="s">
        <v>24</v>
      </c>
      <c r="D38" s="1" t="s">
        <v>95</v>
      </c>
      <c r="E38" s="1" t="s">
        <v>96</v>
      </c>
      <c r="F38" s="2">
        <v>556</v>
      </c>
      <c r="G38" s="3">
        <v>70.5</v>
      </c>
      <c r="H38" s="4" t="str">
        <f>IF(AND(A38="Yes",C38="School"),COUNTIFS($A$6:A38,"Yes",$C$6:C38,"School"),"")</f>
        <v/>
      </c>
    </row>
    <row r="39" spans="1:8">
      <c r="A39" s="13"/>
      <c r="B39" s="1" t="s">
        <v>39</v>
      </c>
      <c r="C39" s="1" t="s">
        <v>24</v>
      </c>
      <c r="D39" s="1" t="s">
        <v>97</v>
      </c>
      <c r="E39" s="1" t="s">
        <v>98</v>
      </c>
      <c r="F39" s="2">
        <v>463</v>
      </c>
      <c r="G39" s="3">
        <v>50.5</v>
      </c>
      <c r="H39" s="4" t="str">
        <f>IF(AND(A39="Yes",C39="School"),COUNTIFS($A$6:A39,"Yes",$C$6:C39,"School"),"")</f>
        <v/>
      </c>
    </row>
    <row r="40" spans="1:8">
      <c r="A40" s="13"/>
      <c r="B40" s="1" t="s">
        <v>39</v>
      </c>
      <c r="C40" s="1" t="s">
        <v>24</v>
      </c>
      <c r="D40" s="1" t="s">
        <v>99</v>
      </c>
      <c r="E40" s="1" t="s">
        <v>100</v>
      </c>
      <c r="F40" s="2">
        <v>1150</v>
      </c>
      <c r="G40" s="3">
        <v>54.3</v>
      </c>
      <c r="H40" s="4" t="str">
        <f>IF(AND(A40="Yes",C40="School"),COUNTIFS($A$6:A40,"Yes",$C$6:C40,"School"),"")</f>
        <v/>
      </c>
    </row>
    <row r="41" spans="1:8">
      <c r="A41" s="13"/>
      <c r="B41" s="1" t="s">
        <v>39</v>
      </c>
      <c r="C41" s="1" t="s">
        <v>24</v>
      </c>
      <c r="D41" s="1" t="s">
        <v>101</v>
      </c>
      <c r="E41" s="1" t="s">
        <v>102</v>
      </c>
      <c r="F41" s="2">
        <v>1052</v>
      </c>
      <c r="G41" s="3">
        <v>52.9</v>
      </c>
      <c r="H41" s="4" t="str">
        <f>IF(AND(A41="Yes",C41="School"),COUNTIFS($A$6:A41,"Yes",$C$6:C41,"School"),"")</f>
        <v/>
      </c>
    </row>
    <row r="42" spans="1:8">
      <c r="A42" s="13"/>
      <c r="B42" s="1" t="s">
        <v>39</v>
      </c>
      <c r="C42" s="1" t="s">
        <v>24</v>
      </c>
      <c r="D42" s="1" t="s">
        <v>103</v>
      </c>
      <c r="E42" s="1" t="s">
        <v>104</v>
      </c>
      <c r="F42" s="2">
        <v>827</v>
      </c>
      <c r="G42" s="3">
        <v>61.8</v>
      </c>
      <c r="H42" s="4" t="str">
        <f>IF(AND(A42="Yes",C42="School"),COUNTIFS($A$6:A42,"Yes",$C$6:C42,"School"),"")</f>
        <v/>
      </c>
    </row>
    <row r="43" spans="1:8">
      <c r="A43" s="13"/>
      <c r="B43" s="1" t="s">
        <v>39</v>
      </c>
      <c r="C43" s="1" t="s">
        <v>24</v>
      </c>
      <c r="D43" s="1" t="s">
        <v>105</v>
      </c>
      <c r="E43" s="1" t="s">
        <v>106</v>
      </c>
      <c r="F43" s="2">
        <v>298</v>
      </c>
      <c r="G43" s="3">
        <v>65.8</v>
      </c>
      <c r="H43" s="4" t="str">
        <f>IF(AND(A43="Yes",C43="School"),COUNTIFS($A$6:A43,"Yes",$C$6:C43,"School"),"")</f>
        <v/>
      </c>
    </row>
    <row r="44" spans="1:8">
      <c r="A44" s="13"/>
      <c r="B44" s="1" t="s">
        <v>39</v>
      </c>
      <c r="C44" s="1" t="s">
        <v>24</v>
      </c>
      <c r="D44" s="1" t="s">
        <v>107</v>
      </c>
      <c r="E44" s="1" t="s">
        <v>108</v>
      </c>
      <c r="F44" s="2">
        <v>722</v>
      </c>
      <c r="G44" s="3">
        <v>60.4</v>
      </c>
      <c r="H44" s="4" t="str">
        <f>IF(AND(A44="Yes",C44="School"),COUNTIFS($A$6:A44,"Yes",$C$6:C44,"School"),"")</f>
        <v/>
      </c>
    </row>
    <row r="45" spans="1:8">
      <c r="A45" s="13"/>
      <c r="B45" s="1" t="s">
        <v>39</v>
      </c>
      <c r="C45" s="1" t="s">
        <v>24</v>
      </c>
      <c r="D45" s="1" t="s">
        <v>109</v>
      </c>
      <c r="E45" s="1" t="s">
        <v>110</v>
      </c>
      <c r="F45" s="2">
        <v>1216</v>
      </c>
      <c r="G45" s="3">
        <v>52.2</v>
      </c>
      <c r="H45" s="4" t="str">
        <f>IF(AND(A45="Yes",C45="School"),COUNTIFS($A$6:A45,"Yes",$C$6:C45,"School"),"")</f>
        <v/>
      </c>
    </row>
    <row r="46" spans="1:8">
      <c r="A46" s="13"/>
      <c r="B46" s="1" t="s">
        <v>39</v>
      </c>
      <c r="C46" s="1" t="s">
        <v>24</v>
      </c>
      <c r="D46" s="1" t="s">
        <v>111</v>
      </c>
      <c r="E46" s="1" t="s">
        <v>112</v>
      </c>
      <c r="F46" s="2">
        <v>1076</v>
      </c>
      <c r="G46" s="3">
        <v>52.6</v>
      </c>
      <c r="H46" s="4" t="str">
        <f>IF(AND(A46="Yes",C46="School"),COUNTIFS($A$6:A46,"Yes",$C$6:C46,"School"),"")</f>
        <v/>
      </c>
    </row>
    <row r="47" spans="1:8">
      <c r="A47" s="13"/>
      <c r="B47" s="1" t="s">
        <v>39</v>
      </c>
      <c r="C47" s="1" t="s">
        <v>24</v>
      </c>
      <c r="D47" s="1" t="s">
        <v>113</v>
      </c>
      <c r="E47" s="1" t="s">
        <v>114</v>
      </c>
      <c r="F47" s="2">
        <v>825</v>
      </c>
      <c r="G47" s="3">
        <v>57</v>
      </c>
      <c r="H47" s="4" t="str">
        <f>IF(AND(A47="Yes",C47="School"),COUNTIFS($A$6:A47,"Yes",$C$6:C47,"School"),"")</f>
        <v/>
      </c>
    </row>
    <row r="48" spans="1:8">
      <c r="A48" s="13"/>
      <c r="B48" s="1" t="s">
        <v>39</v>
      </c>
      <c r="C48" s="1" t="s">
        <v>24</v>
      </c>
      <c r="D48" s="1" t="s">
        <v>115</v>
      </c>
      <c r="E48" s="1" t="s">
        <v>116</v>
      </c>
      <c r="F48" s="2">
        <v>589</v>
      </c>
      <c r="G48" s="3">
        <v>57.9</v>
      </c>
      <c r="H48" s="4" t="str">
        <f>IF(AND(A48="Yes",C48="School"),COUNTIFS($A$6:A48,"Yes",$C$6:C48,"School"),"")</f>
        <v/>
      </c>
    </row>
    <row r="49" spans="1:8">
      <c r="A49" s="13"/>
      <c r="B49" s="1" t="s">
        <v>117</v>
      </c>
      <c r="C49" s="1" t="s">
        <v>40</v>
      </c>
      <c r="D49" s="1" t="s">
        <v>41</v>
      </c>
      <c r="E49" s="1" t="s">
        <v>118</v>
      </c>
      <c r="F49" s="2">
        <v>4223</v>
      </c>
      <c r="G49" s="3">
        <v>48.2</v>
      </c>
      <c r="H49" s="4" t="str">
        <f>IF(AND(A49="Yes",C49="School"),COUNTIFS($A$6:A49,"Yes",$C$6:C49,"School"),"")</f>
        <v/>
      </c>
    </row>
    <row r="50" spans="1:8">
      <c r="A50" s="13"/>
      <c r="B50" s="1" t="s">
        <v>117</v>
      </c>
      <c r="C50" s="1" t="s">
        <v>24</v>
      </c>
      <c r="D50" s="1" t="s">
        <v>119</v>
      </c>
      <c r="E50" s="1" t="s">
        <v>120</v>
      </c>
      <c r="F50" s="2">
        <v>1126</v>
      </c>
      <c r="G50" s="3">
        <v>38.799999999999997</v>
      </c>
      <c r="H50" s="4" t="str">
        <f>IF(AND(A50="Yes",C50="School"),COUNTIFS($A$6:A50,"Yes",$C$6:C50,"School"),"")</f>
        <v/>
      </c>
    </row>
    <row r="51" spans="1:8">
      <c r="A51" s="13"/>
      <c r="B51" s="1" t="s">
        <v>117</v>
      </c>
      <c r="C51" s="1" t="s">
        <v>24</v>
      </c>
      <c r="D51" s="1" t="s">
        <v>121</v>
      </c>
      <c r="E51" s="1" t="s">
        <v>122</v>
      </c>
      <c r="F51" s="2">
        <v>153</v>
      </c>
      <c r="G51" s="3">
        <v>34.6</v>
      </c>
      <c r="H51" s="4" t="str">
        <f>IF(AND(A51="Yes",C51="School"),COUNTIFS($A$6:A51,"Yes",$C$6:C51,"School"),"")</f>
        <v/>
      </c>
    </row>
    <row r="52" spans="1:8">
      <c r="A52" s="13"/>
      <c r="B52" s="1" t="s">
        <v>117</v>
      </c>
      <c r="C52" s="1" t="s">
        <v>24</v>
      </c>
      <c r="D52" s="1" t="s">
        <v>123</v>
      </c>
      <c r="E52" s="1" t="s">
        <v>124</v>
      </c>
      <c r="F52" s="2">
        <v>384</v>
      </c>
      <c r="G52" s="3">
        <v>46.4</v>
      </c>
      <c r="H52" s="4" t="str">
        <f>IF(AND(A52="Yes",C52="School"),COUNTIFS($A$6:A52,"Yes",$C$6:C52,"School"),"")</f>
        <v/>
      </c>
    </row>
    <row r="53" spans="1:8">
      <c r="A53" s="13"/>
      <c r="B53" s="1" t="s">
        <v>117</v>
      </c>
      <c r="C53" s="1" t="s">
        <v>24</v>
      </c>
      <c r="D53" s="1" t="s">
        <v>125</v>
      </c>
      <c r="E53" s="1" t="s">
        <v>126</v>
      </c>
      <c r="F53" s="2">
        <v>502</v>
      </c>
      <c r="G53" s="3">
        <v>54.2</v>
      </c>
      <c r="H53" s="4" t="str">
        <f>IF(AND(A53="Yes",C53="School"),COUNTIFS($A$6:A53,"Yes",$C$6:C53,"School"),"")</f>
        <v/>
      </c>
    </row>
    <row r="54" spans="1:8">
      <c r="A54" s="13"/>
      <c r="B54" s="1" t="s">
        <v>117</v>
      </c>
      <c r="C54" s="1" t="s">
        <v>24</v>
      </c>
      <c r="D54" s="1" t="s">
        <v>127</v>
      </c>
      <c r="E54" s="1" t="s">
        <v>128</v>
      </c>
      <c r="F54" s="2">
        <v>159</v>
      </c>
      <c r="G54" s="3">
        <v>51.6</v>
      </c>
      <c r="H54" s="4" t="str">
        <f>IF(AND(A54="Yes",C54="School"),COUNTIFS($A$6:A54,"Yes",$C$6:C54,"School"),"")</f>
        <v/>
      </c>
    </row>
    <row r="55" spans="1:8">
      <c r="A55" s="13"/>
      <c r="B55" s="1" t="s">
        <v>117</v>
      </c>
      <c r="C55" s="1" t="s">
        <v>24</v>
      </c>
      <c r="D55" s="1" t="s">
        <v>129</v>
      </c>
      <c r="E55" s="1" t="s">
        <v>130</v>
      </c>
      <c r="F55" s="2">
        <v>362</v>
      </c>
      <c r="G55" s="3">
        <v>59.1</v>
      </c>
      <c r="H55" s="4" t="str">
        <f>IF(AND(A55="Yes",C55="School"),COUNTIFS($A$6:A55,"Yes",$C$6:C55,"School"),"")</f>
        <v/>
      </c>
    </row>
    <row r="56" spans="1:8">
      <c r="A56" s="13"/>
      <c r="B56" s="1" t="s">
        <v>117</v>
      </c>
      <c r="C56" s="1" t="s">
        <v>24</v>
      </c>
      <c r="D56" s="1" t="s">
        <v>131</v>
      </c>
      <c r="E56" s="1" t="s">
        <v>132</v>
      </c>
      <c r="F56" s="2">
        <v>257</v>
      </c>
      <c r="G56" s="3">
        <v>63.8</v>
      </c>
      <c r="H56" s="4" t="str">
        <f>IF(AND(A56="Yes",C56="School"),COUNTIFS($A$6:A56,"Yes",$C$6:C56,"School"),"")</f>
        <v/>
      </c>
    </row>
    <row r="57" spans="1:8">
      <c r="A57" s="13"/>
      <c r="B57" s="1" t="s">
        <v>117</v>
      </c>
      <c r="C57" s="1" t="s">
        <v>24</v>
      </c>
      <c r="D57" s="1" t="s">
        <v>133</v>
      </c>
      <c r="E57" s="1" t="s">
        <v>134</v>
      </c>
      <c r="F57" s="2">
        <v>214</v>
      </c>
      <c r="G57" s="3">
        <v>45.3</v>
      </c>
      <c r="H57" s="4" t="str">
        <f>IF(AND(A57="Yes",C57="School"),COUNTIFS($A$6:A57,"Yes",$C$6:C57,"School"),"")</f>
        <v/>
      </c>
    </row>
    <row r="58" spans="1:8">
      <c r="A58" s="13"/>
      <c r="B58" s="1" t="s">
        <v>117</v>
      </c>
      <c r="C58" s="1" t="s">
        <v>24</v>
      </c>
      <c r="D58" s="1" t="s">
        <v>135</v>
      </c>
      <c r="E58" s="1" t="s">
        <v>136</v>
      </c>
      <c r="F58" s="2">
        <v>229</v>
      </c>
      <c r="G58" s="3">
        <v>64.2</v>
      </c>
      <c r="H58" s="4" t="str">
        <f>IF(AND(A58="Yes",C58="School"),COUNTIFS($A$6:A58,"Yes",$C$6:C58,"School"),"")</f>
        <v/>
      </c>
    </row>
    <row r="59" spans="1:8">
      <c r="A59" s="13"/>
      <c r="B59" s="1" t="s">
        <v>117</v>
      </c>
      <c r="C59" s="1" t="s">
        <v>24</v>
      </c>
      <c r="D59" s="1" t="s">
        <v>137</v>
      </c>
      <c r="E59" s="1" t="s">
        <v>138</v>
      </c>
      <c r="F59" s="2">
        <v>516</v>
      </c>
      <c r="G59" s="3">
        <v>41.9</v>
      </c>
      <c r="H59" s="4" t="str">
        <f>IF(AND(A59="Yes",C59="School"),COUNTIFS($A$6:A59,"Yes",$C$6:C59,"School"),"")</f>
        <v/>
      </c>
    </row>
    <row r="60" spans="1:8">
      <c r="A60" s="13"/>
      <c r="B60" s="1" t="s">
        <v>117</v>
      </c>
      <c r="C60" s="1" t="s">
        <v>24</v>
      </c>
      <c r="D60" s="1" t="s">
        <v>139</v>
      </c>
      <c r="E60" s="1" t="s">
        <v>140</v>
      </c>
      <c r="F60" s="2">
        <v>321</v>
      </c>
      <c r="G60" s="3">
        <v>54.2</v>
      </c>
      <c r="H60" s="4" t="str">
        <f>IF(AND(A60="Yes",C60="School"),COUNTIFS($A$6:A60,"Yes",$C$6:C60,"School"),"")</f>
        <v/>
      </c>
    </row>
    <row r="61" spans="1:8">
      <c r="A61" s="13"/>
      <c r="B61" s="1" t="s">
        <v>141</v>
      </c>
      <c r="C61" s="1" t="s">
        <v>40</v>
      </c>
      <c r="D61" s="1" t="s">
        <v>41</v>
      </c>
      <c r="E61" s="1" t="s">
        <v>142</v>
      </c>
      <c r="F61" s="2">
        <v>1338</v>
      </c>
      <c r="G61" s="3">
        <v>54.3</v>
      </c>
      <c r="H61" s="4" t="str">
        <f>IF(AND(A61="Yes",C61="School"),COUNTIFS($A$6:A61,"Yes",$C$6:C61,"School"),"")</f>
        <v/>
      </c>
    </row>
    <row r="62" spans="1:8">
      <c r="A62" s="13"/>
      <c r="B62" s="1" t="s">
        <v>141</v>
      </c>
      <c r="C62" s="1" t="s">
        <v>24</v>
      </c>
      <c r="D62" s="1" t="s">
        <v>143</v>
      </c>
      <c r="E62" s="1" t="s">
        <v>144</v>
      </c>
      <c r="F62" s="2">
        <v>361</v>
      </c>
      <c r="G62" s="3">
        <v>51</v>
      </c>
      <c r="H62" s="4" t="str">
        <f>IF(AND(A62="Yes",C62="School"),COUNTIFS($A$6:A62,"Yes",$C$6:C62,"School"),"")</f>
        <v/>
      </c>
    </row>
    <row r="63" spans="1:8">
      <c r="A63" s="13"/>
      <c r="B63" s="1" t="s">
        <v>141</v>
      </c>
      <c r="C63" s="1" t="s">
        <v>24</v>
      </c>
      <c r="D63" s="1" t="s">
        <v>145</v>
      </c>
      <c r="E63" s="1" t="s">
        <v>146</v>
      </c>
      <c r="F63" s="2">
        <v>256</v>
      </c>
      <c r="G63" s="3">
        <v>59.4</v>
      </c>
      <c r="H63" s="4" t="str">
        <f>IF(AND(A63="Yes",C63="School"),COUNTIFS($A$6:A63,"Yes",$C$6:C63,"School"),"")</f>
        <v/>
      </c>
    </row>
    <row r="64" spans="1:8">
      <c r="A64" s="13"/>
      <c r="B64" s="1" t="s">
        <v>141</v>
      </c>
      <c r="C64" s="1" t="s">
        <v>24</v>
      </c>
      <c r="D64" s="1" t="s">
        <v>147</v>
      </c>
      <c r="E64" s="1" t="s">
        <v>148</v>
      </c>
      <c r="F64" s="2">
        <v>189</v>
      </c>
      <c r="G64" s="3">
        <v>39.200000000000003</v>
      </c>
      <c r="H64" s="4" t="str">
        <f>IF(AND(A64="Yes",C64="School"),COUNTIFS($A$6:A64,"Yes",$C$6:C64,"School"),"")</f>
        <v/>
      </c>
    </row>
    <row r="65" spans="1:8">
      <c r="A65" s="13"/>
      <c r="B65" s="1" t="s">
        <v>141</v>
      </c>
      <c r="C65" s="1" t="s">
        <v>24</v>
      </c>
      <c r="D65" s="1" t="s">
        <v>149</v>
      </c>
      <c r="E65" s="1" t="s">
        <v>150</v>
      </c>
      <c r="F65" s="2">
        <v>532</v>
      </c>
      <c r="G65" s="3">
        <v>59.6</v>
      </c>
      <c r="H65" s="4" t="str">
        <f>IF(AND(A65="Yes",C65="School"),COUNTIFS($A$6:A65,"Yes",$C$6:C65,"School"),"")</f>
        <v/>
      </c>
    </row>
    <row r="66" spans="1:8">
      <c r="A66" s="13"/>
      <c r="B66" s="1" t="s">
        <v>151</v>
      </c>
      <c r="C66" s="1" t="s">
        <v>24</v>
      </c>
      <c r="D66" s="1" t="s">
        <v>151</v>
      </c>
      <c r="E66" s="1" t="s">
        <v>152</v>
      </c>
      <c r="F66" s="2">
        <v>1065</v>
      </c>
      <c r="G66" s="3">
        <v>64.2</v>
      </c>
      <c r="H66" s="4" t="str">
        <f>IF(AND(A66="Yes",C66="School"),COUNTIFS($A$6:A66,"Yes",$C$6:C66,"School"),"")</f>
        <v/>
      </c>
    </row>
    <row r="67" spans="1:8">
      <c r="A67" s="13"/>
      <c r="B67" s="1" t="s">
        <v>153</v>
      </c>
      <c r="C67" s="1" t="s">
        <v>24</v>
      </c>
      <c r="D67" s="1" t="s">
        <v>153</v>
      </c>
      <c r="E67" s="1" t="s">
        <v>154</v>
      </c>
      <c r="F67" s="2">
        <v>1987</v>
      </c>
      <c r="G67" s="3">
        <v>43.5</v>
      </c>
      <c r="H67" s="4" t="str">
        <f>IF(AND(A67="Yes",C67="School"),COUNTIFS($A$6:A67,"Yes",$C$6:C67,"School"),"")</f>
        <v/>
      </c>
    </row>
    <row r="68" spans="1:8">
      <c r="A68" s="13"/>
      <c r="B68" s="1" t="s">
        <v>155</v>
      </c>
      <c r="C68" s="1" t="s">
        <v>24</v>
      </c>
      <c r="D68" s="1" t="s">
        <v>155</v>
      </c>
      <c r="E68" s="1" t="s">
        <v>156</v>
      </c>
      <c r="F68" s="2">
        <v>355</v>
      </c>
      <c r="G68" s="3">
        <v>67.599999999999994</v>
      </c>
      <c r="H68" s="4" t="str">
        <f>IF(AND(A68="Yes",C68="School"),COUNTIFS($A$6:A68,"Yes",$C$6:C68,"School"),"")</f>
        <v/>
      </c>
    </row>
    <row r="69" spans="1:8">
      <c r="A69" s="13"/>
      <c r="B69" s="1" t="s">
        <v>157</v>
      </c>
      <c r="C69" s="1" t="s">
        <v>24</v>
      </c>
      <c r="D69" s="1" t="s">
        <v>157</v>
      </c>
      <c r="E69" s="1" t="s">
        <v>158</v>
      </c>
      <c r="F69" s="2">
        <v>950</v>
      </c>
      <c r="G69" s="3">
        <v>33.700000000000003</v>
      </c>
      <c r="H69" s="4" t="str">
        <f>IF(AND(A69="Yes",C69="School"),COUNTIFS($A$6:A69,"Yes",$C$6:C69,"School"),"")</f>
        <v/>
      </c>
    </row>
    <row r="70" spans="1:8">
      <c r="A70" s="13"/>
      <c r="B70" s="1" t="s">
        <v>159</v>
      </c>
      <c r="C70" s="1" t="s">
        <v>24</v>
      </c>
      <c r="D70" s="1" t="s">
        <v>159</v>
      </c>
      <c r="E70" s="1" t="s">
        <v>160</v>
      </c>
      <c r="F70" s="2">
        <v>809</v>
      </c>
      <c r="G70" s="3">
        <v>57.5</v>
      </c>
      <c r="H70" s="4" t="str">
        <f>IF(AND(A70="Yes",C70="School"),COUNTIFS($A$6:A70,"Yes",$C$6:C70,"School"),"")</f>
        <v/>
      </c>
    </row>
    <row r="71" spans="1:8">
      <c r="A71" s="13"/>
      <c r="B71" s="1" t="s">
        <v>161</v>
      </c>
      <c r="C71" s="1" t="s">
        <v>24</v>
      </c>
      <c r="D71" s="1" t="s">
        <v>161</v>
      </c>
      <c r="E71" s="1" t="s">
        <v>162</v>
      </c>
      <c r="F71" s="2">
        <v>68</v>
      </c>
      <c r="G71" s="3">
        <v>70.599999999999994</v>
      </c>
      <c r="H71" s="4" t="str">
        <f>IF(AND(A71="Yes",C71="School"),COUNTIFS($A$6:A71,"Yes",$C$6:C71,"School"),"")</f>
        <v/>
      </c>
    </row>
    <row r="72" spans="1:8">
      <c r="A72" s="13"/>
      <c r="B72" s="1" t="s">
        <v>163</v>
      </c>
      <c r="C72" s="1" t="s">
        <v>24</v>
      </c>
      <c r="D72" s="1" t="s">
        <v>163</v>
      </c>
      <c r="E72" s="1" t="s">
        <v>164</v>
      </c>
      <c r="F72" s="2">
        <v>295</v>
      </c>
      <c r="G72" s="3">
        <v>19.3</v>
      </c>
      <c r="H72" s="4" t="str">
        <f>IF(AND(A72="Yes",C72="School"),COUNTIFS($A$6:A72,"Yes",$C$6:C72,"School"),"")</f>
        <v/>
      </c>
    </row>
    <row r="73" spans="1:8">
      <c r="A73" s="13"/>
      <c r="B73" s="1" t="s">
        <v>165</v>
      </c>
      <c r="C73" s="1" t="s">
        <v>40</v>
      </c>
      <c r="D73" s="1" t="s">
        <v>41</v>
      </c>
      <c r="E73" s="1" t="s">
        <v>166</v>
      </c>
      <c r="F73" s="2">
        <v>2881</v>
      </c>
      <c r="G73" s="3">
        <v>74.2</v>
      </c>
      <c r="H73" s="4" t="str">
        <f>IF(AND(A73="Yes",C73="School"),COUNTIFS($A$6:A73,"Yes",$C$6:C73,"School"),"")</f>
        <v/>
      </c>
    </row>
    <row r="74" spans="1:8">
      <c r="A74" s="14"/>
      <c r="B74" s="1" t="s">
        <v>165</v>
      </c>
      <c r="C74" s="1" t="s">
        <v>24</v>
      </c>
      <c r="D74" s="1" t="s">
        <v>167</v>
      </c>
      <c r="E74" s="1" t="s">
        <v>168</v>
      </c>
      <c r="F74" s="2">
        <v>215</v>
      </c>
      <c r="G74" s="3">
        <v>54.9</v>
      </c>
      <c r="H74" s="4" t="str">
        <f>IF(AND(A74="Yes",C74="School"),COUNTIFS($A$6:A74,"Yes",$C$6:C74,"School"),"")</f>
        <v/>
      </c>
    </row>
    <row r="75" spans="1:8">
      <c r="A75" s="13"/>
      <c r="B75" s="1" t="s">
        <v>165</v>
      </c>
      <c r="C75" s="1" t="s">
        <v>24</v>
      </c>
      <c r="D75" s="1" t="s">
        <v>169</v>
      </c>
      <c r="E75" s="1" t="s">
        <v>170</v>
      </c>
      <c r="F75" s="2">
        <v>642</v>
      </c>
      <c r="G75" s="3">
        <v>72</v>
      </c>
      <c r="H75" s="4" t="str">
        <f>IF(AND(A75="Yes",C75="School"),COUNTIFS($A$6:A75,"Yes",$C$6:C75,"School"),"")</f>
        <v/>
      </c>
    </row>
    <row r="76" spans="1:8">
      <c r="A76" s="13"/>
      <c r="B76" s="1" t="s">
        <v>165</v>
      </c>
      <c r="C76" s="1" t="s">
        <v>24</v>
      </c>
      <c r="D76" s="1" t="s">
        <v>171</v>
      </c>
      <c r="E76" s="1" t="s">
        <v>172</v>
      </c>
      <c r="F76" s="2">
        <v>420</v>
      </c>
      <c r="G76" s="3">
        <v>75.7</v>
      </c>
      <c r="H76" s="4" t="str">
        <f>IF(AND(A76="Yes",C76="School"),COUNTIFS($A$6:A76,"Yes",$C$6:C76,"School"),"")</f>
        <v/>
      </c>
    </row>
    <row r="77" spans="1:8">
      <c r="A77" s="13"/>
      <c r="B77" s="1" t="s">
        <v>165</v>
      </c>
      <c r="C77" s="1" t="s">
        <v>24</v>
      </c>
      <c r="D77" s="1" t="s">
        <v>173</v>
      </c>
      <c r="E77" s="1" t="s">
        <v>174</v>
      </c>
      <c r="F77" s="2">
        <v>152</v>
      </c>
      <c r="G77" s="3">
        <v>65.8</v>
      </c>
      <c r="H77" s="4" t="str">
        <f>IF(AND(A77="Yes",C77="School"),COUNTIFS($A$6:A77,"Yes",$C$6:C77,"School"),"")</f>
        <v/>
      </c>
    </row>
    <row r="78" spans="1:8">
      <c r="A78" s="13"/>
      <c r="B78" s="1" t="s">
        <v>165</v>
      </c>
      <c r="C78" s="1" t="s">
        <v>24</v>
      </c>
      <c r="D78" s="1" t="s">
        <v>175</v>
      </c>
      <c r="E78" s="1" t="s">
        <v>176</v>
      </c>
      <c r="F78" s="2">
        <v>256</v>
      </c>
      <c r="G78" s="3">
        <v>80.5</v>
      </c>
      <c r="H78" s="4" t="str">
        <f>IF(AND(A78="Yes",C78="School"),COUNTIFS($A$6:A78,"Yes",$C$6:C78,"School"),"")</f>
        <v/>
      </c>
    </row>
    <row r="79" spans="1:8">
      <c r="A79" s="13"/>
      <c r="B79" s="1" t="s">
        <v>165</v>
      </c>
      <c r="C79" s="1" t="s">
        <v>24</v>
      </c>
      <c r="D79" s="1" t="s">
        <v>177</v>
      </c>
      <c r="E79" s="1" t="s">
        <v>178</v>
      </c>
      <c r="F79" s="2">
        <v>204</v>
      </c>
      <c r="G79" s="3">
        <v>87.3</v>
      </c>
      <c r="H79" s="4" t="str">
        <f>IF(AND(A79="Yes",C79="School"),COUNTIFS($A$6:A79,"Yes",$C$6:C79,"School"),"")</f>
        <v/>
      </c>
    </row>
    <row r="80" spans="1:8">
      <c r="A80" s="13"/>
      <c r="B80" s="1" t="s">
        <v>165</v>
      </c>
      <c r="C80" s="1" t="s">
        <v>24</v>
      </c>
      <c r="D80" s="1" t="s">
        <v>179</v>
      </c>
      <c r="E80" s="1" t="s">
        <v>180</v>
      </c>
      <c r="F80" s="2">
        <v>473</v>
      </c>
      <c r="G80" s="3">
        <v>66</v>
      </c>
      <c r="H80" s="4" t="str">
        <f>IF(AND(A80="Yes",C80="School"),COUNTIFS($A$6:A80,"Yes",$C$6:C80,"School"),"")</f>
        <v/>
      </c>
    </row>
    <row r="81" spans="1:8">
      <c r="A81" s="13"/>
      <c r="B81" s="1" t="s">
        <v>165</v>
      </c>
      <c r="C81" s="1" t="s">
        <v>24</v>
      </c>
      <c r="D81" s="1" t="s">
        <v>181</v>
      </c>
      <c r="E81" s="1" t="s">
        <v>182</v>
      </c>
      <c r="F81" s="2">
        <v>232</v>
      </c>
      <c r="G81" s="3">
        <v>84.1</v>
      </c>
      <c r="H81" s="4" t="str">
        <f>IF(AND(A81="Yes",C81="School"),COUNTIFS($A$6:A81,"Yes",$C$6:C81,"School"),"")</f>
        <v/>
      </c>
    </row>
    <row r="82" spans="1:8">
      <c r="A82" s="13"/>
      <c r="B82" s="1" t="s">
        <v>165</v>
      </c>
      <c r="C82" s="1" t="s">
        <v>24</v>
      </c>
      <c r="D82" s="1" t="s">
        <v>183</v>
      </c>
      <c r="E82" s="1" t="s">
        <v>184</v>
      </c>
      <c r="F82" s="2">
        <v>287</v>
      </c>
      <c r="G82" s="3">
        <v>86.4</v>
      </c>
      <c r="H82" s="4" t="str">
        <f>IF(AND(A82="Yes",C82="School"),COUNTIFS($A$6:A82,"Yes",$C$6:C82,"School"),"")</f>
        <v/>
      </c>
    </row>
    <row r="83" spans="1:8">
      <c r="A83" s="13"/>
      <c r="B83" s="1" t="s">
        <v>185</v>
      </c>
      <c r="C83" s="1" t="s">
        <v>24</v>
      </c>
      <c r="D83" s="1" t="s">
        <v>185</v>
      </c>
      <c r="E83" s="1" t="s">
        <v>186</v>
      </c>
      <c r="F83" s="2">
        <v>289</v>
      </c>
      <c r="G83" s="3">
        <v>70.599999999999994</v>
      </c>
      <c r="H83" s="4" t="str">
        <f>IF(AND(A83="Yes",C83="School"),COUNTIFS($A$6:A83,"Yes",$C$6:C83,"School"),"")</f>
        <v/>
      </c>
    </row>
    <row r="84" spans="1:8">
      <c r="A84" s="13"/>
      <c r="B84" s="1" t="s">
        <v>187</v>
      </c>
      <c r="C84" s="1" t="s">
        <v>24</v>
      </c>
      <c r="D84" s="1" t="s">
        <v>187</v>
      </c>
      <c r="E84" s="1" t="s">
        <v>188</v>
      </c>
      <c r="F84" s="2">
        <v>488</v>
      </c>
      <c r="G84" s="3">
        <v>57.4</v>
      </c>
      <c r="H84" s="4" t="str">
        <f>IF(AND(A84="Yes",C84="School"),COUNTIFS($A$6:A84,"Yes",$C$6:C84,"School"),"")</f>
        <v/>
      </c>
    </row>
    <row r="85" spans="1:8">
      <c r="A85" s="13"/>
      <c r="B85" s="1" t="s">
        <v>189</v>
      </c>
      <c r="C85" s="1" t="s">
        <v>24</v>
      </c>
      <c r="D85" s="1" t="s">
        <v>189</v>
      </c>
      <c r="E85" s="1" t="s">
        <v>190</v>
      </c>
      <c r="F85" s="2">
        <v>388</v>
      </c>
      <c r="G85" s="3">
        <v>52.3</v>
      </c>
      <c r="H85" s="4" t="str">
        <f>IF(AND(A85="Yes",C85="School"),COUNTIFS($A$6:A85,"Yes",$C$6:C85,"School"),"")</f>
        <v/>
      </c>
    </row>
    <row r="86" spans="1:8">
      <c r="A86" s="13"/>
      <c r="B86" s="1" t="s">
        <v>191</v>
      </c>
      <c r="C86" s="1" t="s">
        <v>24</v>
      </c>
      <c r="D86" s="1" t="s">
        <v>191</v>
      </c>
      <c r="E86" s="1" t="s">
        <v>192</v>
      </c>
      <c r="F86" s="2">
        <v>627</v>
      </c>
      <c r="G86" s="3">
        <v>24.2</v>
      </c>
      <c r="H86" s="4" t="str">
        <f>IF(AND(A86="Yes",C86="School"),COUNTIFS($A$6:A86,"Yes",$C$6:C86,"School"),"")</f>
        <v/>
      </c>
    </row>
    <row r="87" spans="1:8">
      <c r="A87" s="13"/>
      <c r="B87" s="1" t="s">
        <v>191</v>
      </c>
      <c r="C87" s="1" t="s">
        <v>24</v>
      </c>
      <c r="D87" s="1" t="s">
        <v>193</v>
      </c>
      <c r="E87" s="1" t="s">
        <v>194</v>
      </c>
      <c r="F87" s="2">
        <v>87</v>
      </c>
      <c r="G87" s="3">
        <v>33.299999999999997</v>
      </c>
      <c r="H87" s="4" t="str">
        <f>IF(AND(A87="Yes",C87="School"),COUNTIFS($A$6:A87,"Yes",$C$6:C87,"School"),"")</f>
        <v/>
      </c>
    </row>
    <row r="88" spans="1:8">
      <c r="A88" s="13"/>
      <c r="B88" s="1" t="s">
        <v>195</v>
      </c>
      <c r="C88" s="1" t="s">
        <v>40</v>
      </c>
      <c r="D88" s="1" t="s">
        <v>41</v>
      </c>
      <c r="E88" s="1" t="s">
        <v>196</v>
      </c>
      <c r="F88" s="2">
        <v>2543</v>
      </c>
      <c r="G88" s="3">
        <v>55.2</v>
      </c>
      <c r="H88" s="4" t="str">
        <f>IF(AND(A88="Yes",C88="School"),COUNTIFS($A$6:A88,"Yes",$C$6:C88,"School"),"")</f>
        <v/>
      </c>
    </row>
    <row r="89" spans="1:8">
      <c r="A89" s="13"/>
      <c r="B89" s="1" t="s">
        <v>195</v>
      </c>
      <c r="C89" s="1" t="s">
        <v>24</v>
      </c>
      <c r="D89" s="1" t="s">
        <v>197</v>
      </c>
      <c r="E89" s="1" t="s">
        <v>198</v>
      </c>
      <c r="F89" s="2">
        <v>149</v>
      </c>
      <c r="G89" s="3">
        <v>40.299999999999997</v>
      </c>
      <c r="H89" s="4" t="str">
        <f>IF(AND(A89="Yes",C89="School"),COUNTIFS($A$6:A89,"Yes",$C$6:C89,"School"),"")</f>
        <v/>
      </c>
    </row>
    <row r="90" spans="1:8">
      <c r="A90" s="13"/>
      <c r="B90" s="1" t="s">
        <v>195</v>
      </c>
      <c r="C90" s="1" t="s">
        <v>24</v>
      </c>
      <c r="D90" s="1" t="s">
        <v>199</v>
      </c>
      <c r="E90" s="1" t="s">
        <v>200</v>
      </c>
      <c r="F90" s="2">
        <v>652</v>
      </c>
      <c r="G90" s="3">
        <v>48.5</v>
      </c>
      <c r="H90" s="4" t="str">
        <f>IF(AND(A90="Yes",C90="School"),COUNTIFS($A$6:A90,"Yes",$C$6:C90,"School"),"")</f>
        <v/>
      </c>
    </row>
    <row r="91" spans="1:8">
      <c r="A91" s="13"/>
      <c r="B91" s="1" t="s">
        <v>195</v>
      </c>
      <c r="C91" s="1" t="s">
        <v>24</v>
      </c>
      <c r="D91" s="1" t="s">
        <v>201</v>
      </c>
      <c r="E91" s="1" t="s">
        <v>202</v>
      </c>
      <c r="F91" s="2">
        <v>418</v>
      </c>
      <c r="G91" s="3">
        <v>51.9</v>
      </c>
      <c r="H91" s="4" t="str">
        <f>IF(AND(A91="Yes",C91="School"),COUNTIFS($A$6:A91,"Yes",$C$6:C91,"School"),"")</f>
        <v/>
      </c>
    </row>
    <row r="92" spans="1:8">
      <c r="A92" s="13"/>
      <c r="B92" s="1" t="s">
        <v>195</v>
      </c>
      <c r="C92" s="1" t="s">
        <v>24</v>
      </c>
      <c r="D92" s="1" t="s">
        <v>203</v>
      </c>
      <c r="E92" s="1" t="s">
        <v>204</v>
      </c>
      <c r="F92" s="2">
        <v>322</v>
      </c>
      <c r="G92" s="3">
        <v>68.3</v>
      </c>
      <c r="H92" s="4" t="str">
        <f>IF(AND(A92="Yes",C92="School"),COUNTIFS($A$6:A92,"Yes",$C$6:C92,"School"),"")</f>
        <v/>
      </c>
    </row>
    <row r="93" spans="1:8">
      <c r="A93" s="13"/>
      <c r="B93" s="1" t="s">
        <v>195</v>
      </c>
      <c r="C93" s="1" t="s">
        <v>24</v>
      </c>
      <c r="D93" s="1" t="s">
        <v>205</v>
      </c>
      <c r="E93" s="1" t="s">
        <v>206</v>
      </c>
      <c r="F93" s="2">
        <v>573</v>
      </c>
      <c r="G93" s="3">
        <v>58.5</v>
      </c>
      <c r="H93" s="4" t="str">
        <f>IF(AND(A93="Yes",C93="School"),COUNTIFS($A$6:A93,"Yes",$C$6:C93,"School"),"")</f>
        <v/>
      </c>
    </row>
    <row r="94" spans="1:8">
      <c r="A94" s="13"/>
      <c r="B94" s="1" t="s">
        <v>195</v>
      </c>
      <c r="C94" s="1" t="s">
        <v>24</v>
      </c>
      <c r="D94" s="1" t="s">
        <v>207</v>
      </c>
      <c r="E94" s="1" t="s">
        <v>208</v>
      </c>
      <c r="F94" s="2">
        <v>429</v>
      </c>
      <c r="G94" s="3">
        <v>59.4</v>
      </c>
      <c r="H94" s="4" t="str">
        <f>IF(AND(A94="Yes",C94="School"),COUNTIFS($A$6:A94,"Yes",$C$6:C94,"School"),"")</f>
        <v/>
      </c>
    </row>
    <row r="95" spans="1:8">
      <c r="A95" s="13"/>
      <c r="B95" s="1" t="s">
        <v>209</v>
      </c>
      <c r="C95" s="1" t="s">
        <v>40</v>
      </c>
      <c r="D95" s="1" t="s">
        <v>41</v>
      </c>
      <c r="E95" s="1" t="s">
        <v>210</v>
      </c>
      <c r="F95" s="2">
        <v>4297</v>
      </c>
      <c r="G95" s="3">
        <v>59.6</v>
      </c>
      <c r="H95" s="4" t="str">
        <f>IF(AND(A95="Yes",C95="School"),COUNTIFS($A$6:A95,"Yes",$C$6:C95,"School"),"")</f>
        <v/>
      </c>
    </row>
    <row r="96" spans="1:8">
      <c r="A96" s="13"/>
      <c r="B96" s="1" t="s">
        <v>209</v>
      </c>
      <c r="C96" s="1" t="s">
        <v>24</v>
      </c>
      <c r="D96" s="1" t="s">
        <v>211</v>
      </c>
      <c r="E96" s="1" t="s">
        <v>212</v>
      </c>
      <c r="F96" s="2">
        <v>1289</v>
      </c>
      <c r="G96" s="3">
        <v>56.2</v>
      </c>
      <c r="H96" s="4" t="str">
        <f>IF(AND(A96="Yes",C96="School"),COUNTIFS($A$6:A96,"Yes",$C$6:C96,"School"),"")</f>
        <v/>
      </c>
    </row>
    <row r="97" spans="1:8">
      <c r="A97" s="13"/>
      <c r="B97" s="1" t="s">
        <v>209</v>
      </c>
      <c r="C97" s="1" t="s">
        <v>24</v>
      </c>
      <c r="D97" s="1" t="s">
        <v>213</v>
      </c>
      <c r="E97" s="1" t="s">
        <v>214</v>
      </c>
      <c r="F97" s="2">
        <v>535</v>
      </c>
      <c r="G97" s="3">
        <v>64.099999999999994</v>
      </c>
      <c r="H97" s="4" t="str">
        <f>IF(AND(A97="Yes",C97="School"),COUNTIFS($A$6:A97,"Yes",$C$6:C97,"School"),"")</f>
        <v/>
      </c>
    </row>
    <row r="98" spans="1:8">
      <c r="A98" s="13"/>
      <c r="B98" s="1" t="s">
        <v>209</v>
      </c>
      <c r="C98" s="1" t="s">
        <v>24</v>
      </c>
      <c r="D98" s="1" t="s">
        <v>215</v>
      </c>
      <c r="E98" s="1" t="s">
        <v>216</v>
      </c>
      <c r="F98" s="2">
        <v>351</v>
      </c>
      <c r="G98" s="3">
        <v>71.5</v>
      </c>
      <c r="H98" s="4" t="str">
        <f>IF(AND(A98="Yes",C98="School"),COUNTIFS($A$6:A98,"Yes",$C$6:C98,"School"),"")</f>
        <v/>
      </c>
    </row>
    <row r="99" spans="1:8">
      <c r="A99" s="13"/>
      <c r="B99" s="1" t="s">
        <v>209</v>
      </c>
      <c r="C99" s="1" t="s">
        <v>24</v>
      </c>
      <c r="D99" s="1" t="s">
        <v>217</v>
      </c>
      <c r="E99" s="1" t="s">
        <v>218</v>
      </c>
      <c r="F99" s="2">
        <v>287</v>
      </c>
      <c r="G99" s="3">
        <v>67.2</v>
      </c>
      <c r="H99" s="4" t="str">
        <f>IF(AND(A99="Yes",C99="School"),COUNTIFS($A$6:A99,"Yes",$C$6:C99,"School"),"")</f>
        <v/>
      </c>
    </row>
    <row r="100" spans="1:8">
      <c r="A100" s="13"/>
      <c r="B100" s="1" t="s">
        <v>209</v>
      </c>
      <c r="C100" s="1" t="s">
        <v>24</v>
      </c>
      <c r="D100" s="1" t="s">
        <v>219</v>
      </c>
      <c r="E100" s="1" t="s">
        <v>220</v>
      </c>
      <c r="F100" s="2">
        <v>455</v>
      </c>
      <c r="G100" s="3">
        <v>60.9</v>
      </c>
      <c r="H100" s="4" t="str">
        <f>IF(AND(A100="Yes",C100="School"),COUNTIFS($A$6:A100,"Yes",$C$6:C100,"School"),"")</f>
        <v/>
      </c>
    </row>
    <row r="101" spans="1:8">
      <c r="A101" s="13"/>
      <c r="B101" s="1" t="s">
        <v>209</v>
      </c>
      <c r="C101" s="1" t="s">
        <v>24</v>
      </c>
      <c r="D101" s="1" t="s">
        <v>221</v>
      </c>
      <c r="E101" s="1" t="s">
        <v>222</v>
      </c>
      <c r="F101" s="2">
        <v>384</v>
      </c>
      <c r="G101" s="3">
        <v>55.2</v>
      </c>
      <c r="H101" s="4" t="str">
        <f>IF(AND(A101="Yes",C101="School"),COUNTIFS($A$6:A101,"Yes",$C$6:C101,"School"),"")</f>
        <v/>
      </c>
    </row>
    <row r="102" spans="1:8">
      <c r="A102" s="13"/>
      <c r="B102" s="1" t="s">
        <v>209</v>
      </c>
      <c r="C102" s="1" t="s">
        <v>24</v>
      </c>
      <c r="D102" s="1" t="s">
        <v>223</v>
      </c>
      <c r="E102" s="1" t="s">
        <v>224</v>
      </c>
      <c r="F102" s="2">
        <v>479</v>
      </c>
      <c r="G102" s="3">
        <v>54.3</v>
      </c>
      <c r="H102" s="4" t="str">
        <f>IF(AND(A102="Yes",C102="School"),COUNTIFS($A$6:A102,"Yes",$C$6:C102,"School"),"")</f>
        <v/>
      </c>
    </row>
    <row r="103" spans="1:8">
      <c r="A103" s="13"/>
      <c r="B103" s="1" t="s">
        <v>209</v>
      </c>
      <c r="C103" s="1" t="s">
        <v>24</v>
      </c>
      <c r="D103" s="1" t="s">
        <v>225</v>
      </c>
      <c r="E103" s="1" t="s">
        <v>226</v>
      </c>
      <c r="F103" s="2">
        <v>517</v>
      </c>
      <c r="G103" s="3">
        <v>58.2</v>
      </c>
      <c r="H103" s="4" t="str">
        <f>IF(AND(A103="Yes",C103="School"),COUNTIFS($A$6:A103,"Yes",$C$6:C103,"School"),"")</f>
        <v/>
      </c>
    </row>
    <row r="104" spans="1:8">
      <c r="A104" s="13"/>
      <c r="B104" s="1" t="s">
        <v>227</v>
      </c>
      <c r="C104" s="1" t="s">
        <v>40</v>
      </c>
      <c r="D104" s="1" t="s">
        <v>41</v>
      </c>
      <c r="E104" s="1" t="s">
        <v>228</v>
      </c>
      <c r="F104" s="2">
        <v>3884</v>
      </c>
      <c r="G104" s="3">
        <v>39.9</v>
      </c>
      <c r="H104" s="4" t="str">
        <f>IF(AND(A104="Yes",C104="School"),COUNTIFS($A$6:A104,"Yes",$C$6:C104,"School"),"")</f>
        <v/>
      </c>
    </row>
    <row r="105" spans="1:8">
      <c r="A105" s="13"/>
      <c r="B105" s="1" t="s">
        <v>227</v>
      </c>
      <c r="C105" s="1" t="s">
        <v>24</v>
      </c>
      <c r="D105" s="1" t="s">
        <v>229</v>
      </c>
      <c r="E105" s="1" t="s">
        <v>230</v>
      </c>
      <c r="F105" s="2">
        <v>1155</v>
      </c>
      <c r="G105" s="3">
        <v>32.799999999999997</v>
      </c>
      <c r="H105" s="4" t="str">
        <f>IF(AND(A105="Yes",C105="School"),COUNTIFS($A$6:A105,"Yes",$C$6:C105,"School"),"")</f>
        <v/>
      </c>
    </row>
    <row r="106" spans="1:8">
      <c r="A106" s="13"/>
      <c r="B106" s="1" t="s">
        <v>227</v>
      </c>
      <c r="C106" s="1" t="s">
        <v>24</v>
      </c>
      <c r="D106" s="1" t="s">
        <v>231</v>
      </c>
      <c r="E106" s="1" t="s">
        <v>232</v>
      </c>
      <c r="F106" s="2">
        <v>703</v>
      </c>
      <c r="G106" s="3">
        <v>45.4</v>
      </c>
      <c r="H106" s="4" t="str">
        <f>IF(AND(A106="Yes",C106="School"),COUNTIFS($A$6:A106,"Yes",$C$6:C106,"School"),"")</f>
        <v/>
      </c>
    </row>
    <row r="107" spans="1:8">
      <c r="A107" s="13"/>
      <c r="B107" s="1" t="s">
        <v>227</v>
      </c>
      <c r="C107" s="1" t="s">
        <v>24</v>
      </c>
      <c r="D107" s="1" t="s">
        <v>233</v>
      </c>
      <c r="E107" s="1" t="s">
        <v>234</v>
      </c>
      <c r="F107" s="2">
        <v>417</v>
      </c>
      <c r="G107" s="3">
        <v>32.6</v>
      </c>
      <c r="H107" s="4" t="str">
        <f>IF(AND(A107="Yes",C107="School"),COUNTIFS($A$6:A107,"Yes",$C$6:C107,"School"),"")</f>
        <v/>
      </c>
    </row>
    <row r="108" spans="1:8">
      <c r="A108" s="13"/>
      <c r="B108" s="1" t="s">
        <v>227</v>
      </c>
      <c r="C108" s="1" t="s">
        <v>24</v>
      </c>
      <c r="D108" s="1" t="s">
        <v>235</v>
      </c>
      <c r="E108" s="1" t="s">
        <v>236</v>
      </c>
      <c r="F108" s="2">
        <v>302</v>
      </c>
      <c r="G108" s="3">
        <v>58.6</v>
      </c>
      <c r="H108" s="4" t="str">
        <f>IF(AND(A108="Yes",C108="School"),COUNTIFS($A$6:A108,"Yes",$C$6:C108,"School"),"")</f>
        <v/>
      </c>
    </row>
    <row r="109" spans="1:8">
      <c r="A109" s="13"/>
      <c r="B109" s="1" t="s">
        <v>227</v>
      </c>
      <c r="C109" s="1" t="s">
        <v>24</v>
      </c>
      <c r="D109" s="1" t="s">
        <v>237</v>
      </c>
      <c r="E109" s="1" t="s">
        <v>238</v>
      </c>
      <c r="F109" s="2">
        <v>340</v>
      </c>
      <c r="G109" s="3">
        <v>47.9</v>
      </c>
      <c r="H109" s="4" t="str">
        <f>IF(AND(A109="Yes",C109="School"),COUNTIFS($A$6:A109,"Yes",$C$6:C109,"School"),"")</f>
        <v/>
      </c>
    </row>
    <row r="110" spans="1:8">
      <c r="A110" s="13"/>
      <c r="B110" s="1" t="s">
        <v>227</v>
      </c>
      <c r="C110" s="1" t="s">
        <v>24</v>
      </c>
      <c r="D110" s="1" t="s">
        <v>239</v>
      </c>
      <c r="E110" s="1" t="s">
        <v>240</v>
      </c>
      <c r="F110" s="2">
        <v>359</v>
      </c>
      <c r="G110" s="3">
        <v>41.2</v>
      </c>
      <c r="H110" s="4" t="str">
        <f>IF(AND(A110="Yes",C110="School"),COUNTIFS($A$6:A110,"Yes",$C$6:C110,"School"),"")</f>
        <v/>
      </c>
    </row>
    <row r="111" spans="1:8">
      <c r="A111" s="13"/>
      <c r="B111" s="1" t="s">
        <v>227</v>
      </c>
      <c r="C111" s="1" t="s">
        <v>24</v>
      </c>
      <c r="D111" s="1" t="s">
        <v>241</v>
      </c>
      <c r="E111" s="1" t="s">
        <v>242</v>
      </c>
      <c r="F111" s="2">
        <v>297</v>
      </c>
      <c r="G111" s="3">
        <v>46.1</v>
      </c>
      <c r="H111" s="4" t="str">
        <f>IF(AND(A111="Yes",C111="School"),COUNTIFS($A$6:A111,"Yes",$C$6:C111,"School"),"")</f>
        <v/>
      </c>
    </row>
    <row r="112" spans="1:8">
      <c r="A112" s="13"/>
      <c r="B112" s="1" t="s">
        <v>227</v>
      </c>
      <c r="C112" s="1" t="s">
        <v>24</v>
      </c>
      <c r="D112" s="1" t="s">
        <v>243</v>
      </c>
      <c r="E112" s="1" t="s">
        <v>244</v>
      </c>
      <c r="F112" s="2">
        <v>311</v>
      </c>
      <c r="G112" s="3">
        <v>29.3</v>
      </c>
      <c r="H112" s="4" t="str">
        <f>IF(AND(A112="Yes",C112="School"),COUNTIFS($A$6:A112,"Yes",$C$6:C112,"School"),"")</f>
        <v/>
      </c>
    </row>
    <row r="113" spans="1:8">
      <c r="A113" s="13"/>
      <c r="B113" s="1" t="s">
        <v>245</v>
      </c>
      <c r="C113" s="1" t="s">
        <v>24</v>
      </c>
      <c r="D113" s="1" t="s">
        <v>245</v>
      </c>
      <c r="E113" s="1" t="s">
        <v>246</v>
      </c>
      <c r="F113" s="2">
        <v>168</v>
      </c>
      <c r="G113" s="3">
        <v>88.7</v>
      </c>
      <c r="H113" s="4" t="str">
        <f>IF(AND(A113="Yes",C113="School"),COUNTIFS($A$6:A113,"Yes",$C$6:C113,"School"),"")</f>
        <v/>
      </c>
    </row>
    <row r="114" spans="1:8">
      <c r="A114" s="13"/>
      <c r="B114" s="1" t="s">
        <v>247</v>
      </c>
      <c r="C114" s="1" t="s">
        <v>24</v>
      </c>
      <c r="D114" s="1" t="s">
        <v>247</v>
      </c>
      <c r="E114" s="1" t="s">
        <v>248</v>
      </c>
      <c r="F114" s="2">
        <v>282</v>
      </c>
      <c r="G114" s="3">
        <v>45.7</v>
      </c>
      <c r="H114" s="4" t="str">
        <f>IF(AND(A114="Yes",C114="School"),COUNTIFS($A$6:A114,"Yes",$C$6:C114,"School"),"")</f>
        <v/>
      </c>
    </row>
    <row r="115" spans="1:8">
      <c r="A115" s="13"/>
      <c r="B115" s="1" t="s">
        <v>249</v>
      </c>
      <c r="C115" s="1" t="s">
        <v>40</v>
      </c>
      <c r="D115" s="1" t="s">
        <v>41</v>
      </c>
      <c r="E115" s="1" t="s">
        <v>250</v>
      </c>
      <c r="F115" s="2">
        <v>1674</v>
      </c>
      <c r="G115" s="3">
        <v>45.5</v>
      </c>
      <c r="H115" s="4" t="str">
        <f>IF(AND(A115="Yes",C115="School"),COUNTIFS($A$6:A115,"Yes",$C$6:C115,"School"),"")</f>
        <v/>
      </c>
    </row>
    <row r="116" spans="1:8">
      <c r="A116" s="13"/>
      <c r="B116" s="1" t="s">
        <v>249</v>
      </c>
      <c r="C116" s="1" t="s">
        <v>24</v>
      </c>
      <c r="D116" s="1" t="s">
        <v>251</v>
      </c>
      <c r="E116" s="1" t="s">
        <v>252</v>
      </c>
      <c r="F116" s="2">
        <v>506</v>
      </c>
      <c r="G116" s="3">
        <v>42.1</v>
      </c>
      <c r="H116" s="4" t="str">
        <f>IF(AND(A116="Yes",C116="School"),COUNTIFS($A$6:A116,"Yes",$C$6:C116,"School"),"")</f>
        <v/>
      </c>
    </row>
    <row r="117" spans="1:8">
      <c r="A117" s="13"/>
      <c r="B117" s="1" t="s">
        <v>249</v>
      </c>
      <c r="C117" s="1" t="s">
        <v>24</v>
      </c>
      <c r="D117" s="1" t="s">
        <v>253</v>
      </c>
      <c r="E117" s="1" t="s">
        <v>254</v>
      </c>
      <c r="F117" s="2">
        <v>190</v>
      </c>
      <c r="G117" s="3">
        <v>49.5</v>
      </c>
      <c r="H117" s="4" t="str">
        <f>IF(AND(A117="Yes",C117="School"),COUNTIFS($A$6:A117,"Yes",$C$6:C117,"School"),"")</f>
        <v/>
      </c>
    </row>
    <row r="118" spans="1:8">
      <c r="A118" s="13"/>
      <c r="B118" s="1" t="s">
        <v>249</v>
      </c>
      <c r="C118" s="1" t="s">
        <v>24</v>
      </c>
      <c r="D118" s="1" t="s">
        <v>255</v>
      </c>
      <c r="E118" s="1" t="s">
        <v>256</v>
      </c>
      <c r="F118" s="2">
        <v>139</v>
      </c>
      <c r="G118" s="3">
        <v>24.5</v>
      </c>
      <c r="H118" s="4" t="str">
        <f>IF(AND(A118="Yes",C118="School"),COUNTIFS($A$6:A118,"Yes",$C$6:C118,"School"),"")</f>
        <v/>
      </c>
    </row>
    <row r="119" spans="1:8">
      <c r="A119" s="13"/>
      <c r="B119" s="1" t="s">
        <v>249</v>
      </c>
      <c r="C119" s="1" t="s">
        <v>24</v>
      </c>
      <c r="D119" s="1" t="s">
        <v>257</v>
      </c>
      <c r="E119" s="1" t="s">
        <v>258</v>
      </c>
      <c r="F119" s="2">
        <v>170</v>
      </c>
      <c r="G119" s="3">
        <v>34.700000000000003</v>
      </c>
      <c r="H119" s="4" t="str">
        <f>IF(AND(A119="Yes",C119="School"),COUNTIFS($A$6:A119,"Yes",$C$6:C119,"School"),"")</f>
        <v/>
      </c>
    </row>
    <row r="120" spans="1:8">
      <c r="A120" s="13"/>
      <c r="B120" s="1" t="s">
        <v>249</v>
      </c>
      <c r="C120" s="1" t="s">
        <v>24</v>
      </c>
      <c r="D120" s="1" t="s">
        <v>259</v>
      </c>
      <c r="E120" s="1" t="s">
        <v>260</v>
      </c>
      <c r="F120" s="2">
        <v>198</v>
      </c>
      <c r="G120" s="3">
        <v>47.5</v>
      </c>
      <c r="H120" s="4" t="str">
        <f>IF(AND(A120="Yes",C120="School"),COUNTIFS($A$6:A120,"Yes",$C$6:C120,"School"),"")</f>
        <v/>
      </c>
    </row>
    <row r="121" spans="1:8">
      <c r="A121" s="13"/>
      <c r="B121" s="1" t="s">
        <v>249</v>
      </c>
      <c r="C121" s="1" t="s">
        <v>24</v>
      </c>
      <c r="D121" s="1" t="s">
        <v>261</v>
      </c>
      <c r="E121" s="1" t="s">
        <v>262</v>
      </c>
      <c r="F121" s="2">
        <v>172</v>
      </c>
      <c r="G121" s="3">
        <v>53.5</v>
      </c>
      <c r="H121" s="4" t="str">
        <f>IF(AND(A121="Yes",C121="School"),COUNTIFS($A$6:A121,"Yes",$C$6:C121,"School"),"")</f>
        <v/>
      </c>
    </row>
    <row r="122" spans="1:8">
      <c r="A122" s="13"/>
      <c r="B122" s="1" t="s">
        <v>249</v>
      </c>
      <c r="C122" s="1" t="s">
        <v>24</v>
      </c>
      <c r="D122" s="1" t="s">
        <v>263</v>
      </c>
      <c r="E122" s="1" t="s">
        <v>264</v>
      </c>
      <c r="F122" s="2">
        <v>205</v>
      </c>
      <c r="G122" s="3">
        <v>58.5</v>
      </c>
      <c r="H122" s="4" t="str">
        <f>IF(AND(A122="Yes",C122="School"),COUNTIFS($A$6:A122,"Yes",$C$6:C122,"School"),"")</f>
        <v/>
      </c>
    </row>
    <row r="123" spans="1:8">
      <c r="A123" s="13"/>
      <c r="B123" s="1" t="s">
        <v>249</v>
      </c>
      <c r="C123" s="1" t="s">
        <v>24</v>
      </c>
      <c r="D123" s="1" t="s">
        <v>265</v>
      </c>
      <c r="E123" s="1" t="s">
        <v>266</v>
      </c>
      <c r="F123" s="2">
        <v>94</v>
      </c>
      <c r="G123" s="3">
        <v>58.5</v>
      </c>
      <c r="H123" s="4" t="str">
        <f>IF(AND(A123="Yes",C123="School"),COUNTIFS($A$6:A123,"Yes",$C$6:C123,"School"),"")</f>
        <v/>
      </c>
    </row>
    <row r="124" spans="1:8">
      <c r="A124" s="13"/>
      <c r="B124" s="1" t="s">
        <v>267</v>
      </c>
      <c r="C124" s="1" t="s">
        <v>24</v>
      </c>
      <c r="D124" s="1" t="s">
        <v>267</v>
      </c>
      <c r="E124" s="1" t="s">
        <v>268</v>
      </c>
      <c r="F124" s="2">
        <v>510</v>
      </c>
      <c r="G124" s="3">
        <v>33.1</v>
      </c>
      <c r="H124" s="4" t="str">
        <f>IF(AND(A124="Yes",C124="School"),COUNTIFS($A$6:A124,"Yes",$C$6:C124,"School"),"")</f>
        <v/>
      </c>
    </row>
    <row r="125" spans="1:8">
      <c r="A125" s="13"/>
      <c r="B125" s="1" t="s">
        <v>269</v>
      </c>
      <c r="C125" s="1" t="s">
        <v>40</v>
      </c>
      <c r="D125" s="1" t="s">
        <v>41</v>
      </c>
      <c r="E125" s="1" t="s">
        <v>270</v>
      </c>
      <c r="F125" s="2">
        <v>5235</v>
      </c>
      <c r="G125" s="3">
        <v>62.6</v>
      </c>
      <c r="H125" s="4" t="str">
        <f>IF(AND(A125="Yes",C125="School"),COUNTIFS($A$6:A125,"Yes",$C$6:C125,"School"),"")</f>
        <v/>
      </c>
    </row>
    <row r="126" spans="1:8">
      <c r="A126" s="13"/>
      <c r="B126" s="1" t="s">
        <v>269</v>
      </c>
      <c r="C126" s="1" t="s">
        <v>24</v>
      </c>
      <c r="D126" s="1" t="s">
        <v>271</v>
      </c>
      <c r="E126" s="1" t="s">
        <v>272</v>
      </c>
      <c r="F126" s="2">
        <v>529</v>
      </c>
      <c r="G126" s="3">
        <v>33.799999999999997</v>
      </c>
      <c r="H126" s="4" t="str">
        <f>IF(AND(A126="Yes",C126="School"),COUNTIFS($A$6:A126,"Yes",$C$6:C126,"School"),"")</f>
        <v/>
      </c>
    </row>
    <row r="127" spans="1:8">
      <c r="A127" s="13"/>
      <c r="B127" s="1" t="s">
        <v>269</v>
      </c>
      <c r="C127" s="1" t="s">
        <v>24</v>
      </c>
      <c r="D127" s="1" t="s">
        <v>273</v>
      </c>
      <c r="E127" s="1" t="s">
        <v>274</v>
      </c>
      <c r="F127" s="2">
        <v>249</v>
      </c>
      <c r="G127" s="3">
        <v>52.6</v>
      </c>
      <c r="H127" s="4" t="str">
        <f>IF(AND(A127="Yes",C127="School"),COUNTIFS($A$6:A127,"Yes",$C$6:C127,"School"),"")</f>
        <v/>
      </c>
    </row>
    <row r="128" spans="1:8">
      <c r="A128" s="13"/>
      <c r="B128" s="1" t="s">
        <v>269</v>
      </c>
      <c r="C128" s="1" t="s">
        <v>24</v>
      </c>
      <c r="D128" s="1" t="s">
        <v>275</v>
      </c>
      <c r="E128" s="1" t="s">
        <v>276</v>
      </c>
      <c r="F128" s="2">
        <v>391</v>
      </c>
      <c r="G128" s="3">
        <v>67</v>
      </c>
      <c r="H128" s="4" t="str">
        <f>IF(AND(A128="Yes",C128="School"),COUNTIFS($A$6:A128,"Yes",$C$6:C128,"School"),"")</f>
        <v/>
      </c>
    </row>
    <row r="129" spans="1:8">
      <c r="A129" s="13"/>
      <c r="B129" s="1" t="s">
        <v>269</v>
      </c>
      <c r="C129" s="1" t="s">
        <v>24</v>
      </c>
      <c r="D129" s="1" t="s">
        <v>277</v>
      </c>
      <c r="E129" s="1" t="s">
        <v>278</v>
      </c>
      <c r="F129" s="2">
        <v>519</v>
      </c>
      <c r="G129" s="3">
        <v>72.8</v>
      </c>
      <c r="H129" s="4" t="str">
        <f>IF(AND(A129="Yes",C129="School"),COUNTIFS($A$6:A129,"Yes",$C$6:C129,"School"),"")</f>
        <v/>
      </c>
    </row>
    <row r="130" spans="1:8">
      <c r="A130" s="13"/>
      <c r="B130" s="1" t="s">
        <v>269</v>
      </c>
      <c r="C130" s="1" t="s">
        <v>24</v>
      </c>
      <c r="D130" s="1" t="s">
        <v>279</v>
      </c>
      <c r="E130" s="1" t="s">
        <v>280</v>
      </c>
      <c r="F130" s="2">
        <v>426</v>
      </c>
      <c r="G130" s="3">
        <v>79.099999999999994</v>
      </c>
      <c r="H130" s="4" t="str">
        <f>IF(AND(A130="Yes",C130="School"),COUNTIFS($A$6:A130,"Yes",$C$6:C130,"School"),"")</f>
        <v/>
      </c>
    </row>
    <row r="131" spans="1:8">
      <c r="A131" s="13"/>
      <c r="B131" s="1" t="s">
        <v>269</v>
      </c>
      <c r="C131" s="1" t="s">
        <v>24</v>
      </c>
      <c r="D131" s="1" t="s">
        <v>281</v>
      </c>
      <c r="E131" s="1" t="s">
        <v>282</v>
      </c>
      <c r="F131" s="2">
        <v>396</v>
      </c>
      <c r="G131" s="3">
        <v>78.8</v>
      </c>
      <c r="H131" s="4" t="str">
        <f>IF(AND(A131="Yes",C131="School"),COUNTIFS($A$6:A131,"Yes",$C$6:C131,"School"),"")</f>
        <v/>
      </c>
    </row>
    <row r="132" spans="1:8">
      <c r="A132" s="13"/>
      <c r="B132" s="1" t="s">
        <v>269</v>
      </c>
      <c r="C132" s="1" t="s">
        <v>24</v>
      </c>
      <c r="D132" s="1" t="s">
        <v>283</v>
      </c>
      <c r="E132" s="1" t="s">
        <v>284</v>
      </c>
      <c r="F132" s="2">
        <v>337</v>
      </c>
      <c r="G132" s="3">
        <v>75.7</v>
      </c>
      <c r="H132" s="4" t="str">
        <f>IF(AND(A132="Yes",C132="School"),COUNTIFS($A$6:A132,"Yes",$C$6:C132,"School"),"")</f>
        <v/>
      </c>
    </row>
    <row r="133" spans="1:8">
      <c r="A133" s="13"/>
      <c r="B133" s="1" t="s">
        <v>269</v>
      </c>
      <c r="C133" s="1" t="s">
        <v>24</v>
      </c>
      <c r="D133" s="1" t="s">
        <v>285</v>
      </c>
      <c r="E133" s="1" t="s">
        <v>286</v>
      </c>
      <c r="F133" s="2">
        <v>334</v>
      </c>
      <c r="G133" s="3">
        <v>63.2</v>
      </c>
      <c r="H133" s="4" t="str">
        <f>IF(AND(A133="Yes",C133="School"),COUNTIFS($A$6:A133,"Yes",$C$6:C133,"School"),"")</f>
        <v/>
      </c>
    </row>
    <row r="134" spans="1:8">
      <c r="A134" s="13"/>
      <c r="B134" s="1" t="s">
        <v>269</v>
      </c>
      <c r="C134" s="1" t="s">
        <v>24</v>
      </c>
      <c r="D134" s="1" t="s">
        <v>287</v>
      </c>
      <c r="E134" s="1" t="s">
        <v>288</v>
      </c>
      <c r="F134" s="2">
        <v>370</v>
      </c>
      <c r="G134" s="3">
        <v>39.700000000000003</v>
      </c>
      <c r="H134" s="4" t="str">
        <f>IF(AND(A134="Yes",C134="School"),COUNTIFS($A$6:A134,"Yes",$C$6:C134,"School"),"")</f>
        <v/>
      </c>
    </row>
    <row r="135" spans="1:8">
      <c r="A135" s="13"/>
      <c r="B135" s="1" t="s">
        <v>269</v>
      </c>
      <c r="C135" s="1" t="s">
        <v>24</v>
      </c>
      <c r="D135" s="1" t="s">
        <v>289</v>
      </c>
      <c r="E135" s="1" t="s">
        <v>290</v>
      </c>
      <c r="F135" s="2">
        <v>635</v>
      </c>
      <c r="G135" s="3">
        <v>68.8</v>
      </c>
      <c r="H135" s="4" t="str">
        <f>IF(AND(A135="Yes",C135="School"),COUNTIFS($A$6:A135,"Yes",$C$6:C135,"School"),"")</f>
        <v/>
      </c>
    </row>
    <row r="136" spans="1:8">
      <c r="A136" s="13"/>
      <c r="B136" s="1" t="s">
        <v>269</v>
      </c>
      <c r="C136" s="1" t="s">
        <v>24</v>
      </c>
      <c r="D136" s="1" t="s">
        <v>291</v>
      </c>
      <c r="E136" s="1" t="s">
        <v>292</v>
      </c>
      <c r="F136" s="2">
        <v>361</v>
      </c>
      <c r="G136" s="3">
        <v>63.7</v>
      </c>
      <c r="H136" s="4" t="str">
        <f>IF(AND(A136="Yes",C136="School"),COUNTIFS($A$6:A136,"Yes",$C$6:C136,"School"),"")</f>
        <v/>
      </c>
    </row>
    <row r="137" spans="1:8">
      <c r="A137" s="13"/>
      <c r="B137" s="1" t="s">
        <v>269</v>
      </c>
      <c r="C137" s="1" t="s">
        <v>24</v>
      </c>
      <c r="D137" s="1" t="s">
        <v>293</v>
      </c>
      <c r="E137" s="1" t="s">
        <v>294</v>
      </c>
      <c r="F137" s="2">
        <v>688</v>
      </c>
      <c r="G137" s="3">
        <v>57.8</v>
      </c>
      <c r="H137" s="4" t="str">
        <f>IF(AND(A137="Yes",C137="School"),COUNTIFS($A$6:A137,"Yes",$C$6:C137,"School"),"")</f>
        <v/>
      </c>
    </row>
    <row r="138" spans="1:8">
      <c r="A138" s="13"/>
      <c r="B138" s="1" t="s">
        <v>295</v>
      </c>
      <c r="C138" s="1" t="s">
        <v>40</v>
      </c>
      <c r="D138" s="1" t="s">
        <v>41</v>
      </c>
      <c r="E138" s="1" t="s">
        <v>296</v>
      </c>
      <c r="F138" s="2">
        <v>1603</v>
      </c>
      <c r="G138" s="3">
        <v>78.900000000000006</v>
      </c>
      <c r="H138" s="4" t="str">
        <f>IF(AND(A138="Yes",C138="School"),COUNTIFS($A$6:A138,"Yes",$C$6:C138,"School"),"")</f>
        <v/>
      </c>
    </row>
    <row r="139" spans="1:8">
      <c r="A139" s="13"/>
      <c r="B139" s="1" t="s">
        <v>295</v>
      </c>
      <c r="C139" s="1" t="s">
        <v>24</v>
      </c>
      <c r="D139" s="1" t="s">
        <v>297</v>
      </c>
      <c r="E139" s="1" t="s">
        <v>298</v>
      </c>
      <c r="F139" s="2">
        <v>104</v>
      </c>
      <c r="G139" s="3">
        <v>60.6</v>
      </c>
      <c r="H139" s="4" t="str">
        <f>IF(AND(A139="Yes",C139="School"),COUNTIFS($A$6:A139,"Yes",$C$6:C139,"School"),"")</f>
        <v/>
      </c>
    </row>
    <row r="140" spans="1:8">
      <c r="A140" s="13"/>
      <c r="B140" s="1" t="s">
        <v>295</v>
      </c>
      <c r="C140" s="1" t="s">
        <v>24</v>
      </c>
      <c r="D140" s="1" t="s">
        <v>299</v>
      </c>
      <c r="E140" s="1" t="s">
        <v>300</v>
      </c>
      <c r="F140" s="2">
        <v>403</v>
      </c>
      <c r="G140" s="3">
        <v>76.7</v>
      </c>
      <c r="H140" s="4" t="str">
        <f>IF(AND(A140="Yes",C140="School"),COUNTIFS($A$6:A140,"Yes",$C$6:C140,"School"),"")</f>
        <v/>
      </c>
    </row>
    <row r="141" spans="1:8">
      <c r="A141" s="13"/>
      <c r="B141" s="1" t="s">
        <v>295</v>
      </c>
      <c r="C141" s="1" t="s">
        <v>24</v>
      </c>
      <c r="D141" s="1" t="s">
        <v>301</v>
      </c>
      <c r="E141" s="1" t="s">
        <v>302</v>
      </c>
      <c r="F141" s="2">
        <v>327</v>
      </c>
      <c r="G141" s="3">
        <v>78.3</v>
      </c>
      <c r="H141" s="4" t="str">
        <f>IF(AND(A141="Yes",C141="School"),COUNTIFS($A$6:A141,"Yes",$C$6:C141,"School"),"")</f>
        <v/>
      </c>
    </row>
    <row r="142" spans="1:8">
      <c r="A142" s="13"/>
      <c r="B142" s="1" t="s">
        <v>295</v>
      </c>
      <c r="C142" s="1" t="s">
        <v>24</v>
      </c>
      <c r="D142" s="1" t="s">
        <v>303</v>
      </c>
      <c r="E142" s="1" t="s">
        <v>304</v>
      </c>
      <c r="F142" s="2">
        <v>191</v>
      </c>
      <c r="G142" s="3">
        <v>85.9</v>
      </c>
      <c r="H142" s="4" t="str">
        <f>IF(AND(A142="Yes",C142="School"),COUNTIFS($A$6:A142,"Yes",$C$6:C142,"School"),"")</f>
        <v/>
      </c>
    </row>
    <row r="143" spans="1:8">
      <c r="A143" s="13"/>
      <c r="B143" s="1" t="s">
        <v>295</v>
      </c>
      <c r="C143" s="1" t="s">
        <v>24</v>
      </c>
      <c r="D143" s="1" t="s">
        <v>305</v>
      </c>
      <c r="E143" s="1" t="s">
        <v>306</v>
      </c>
      <c r="F143" s="2">
        <v>281</v>
      </c>
      <c r="G143" s="3">
        <v>85.1</v>
      </c>
      <c r="H143" s="4" t="str">
        <f>IF(AND(A143="Yes",C143="School"),COUNTIFS($A$6:A143,"Yes",$C$6:C143,"School"),"")</f>
        <v/>
      </c>
    </row>
    <row r="144" spans="1:8">
      <c r="A144" s="13"/>
      <c r="B144" s="1" t="s">
        <v>295</v>
      </c>
      <c r="C144" s="1" t="s">
        <v>24</v>
      </c>
      <c r="D144" s="1" t="s">
        <v>307</v>
      </c>
      <c r="E144" s="1" t="s">
        <v>308</v>
      </c>
      <c r="F144" s="2">
        <v>297</v>
      </c>
      <c r="G144" s="3">
        <v>78.8</v>
      </c>
      <c r="H144" s="4" t="str">
        <f>IF(AND(A144="Yes",C144="School"),COUNTIFS($A$6:A144,"Yes",$C$6:C144,"School"),"")</f>
        <v/>
      </c>
    </row>
    <row r="145" spans="1:8">
      <c r="A145" s="13"/>
      <c r="B145" s="1" t="s">
        <v>309</v>
      </c>
      <c r="C145" s="1" t="s">
        <v>24</v>
      </c>
      <c r="D145" s="1" t="s">
        <v>309</v>
      </c>
      <c r="E145" s="1" t="s">
        <v>310</v>
      </c>
      <c r="F145" s="2">
        <v>677</v>
      </c>
      <c r="G145" s="3">
        <v>30.6</v>
      </c>
      <c r="H145" s="4" t="str">
        <f>IF(AND(A145="Yes",C145="School"),COUNTIFS($A$6:A145,"Yes",$C$6:C145,"School"),"")</f>
        <v/>
      </c>
    </row>
    <row r="146" spans="1:8">
      <c r="A146" s="13"/>
      <c r="B146" s="1" t="s">
        <v>311</v>
      </c>
      <c r="C146" s="1" t="s">
        <v>24</v>
      </c>
      <c r="D146" s="1" t="s">
        <v>311</v>
      </c>
      <c r="E146" s="1" t="s">
        <v>312</v>
      </c>
      <c r="F146" s="2">
        <v>344</v>
      </c>
      <c r="G146" s="3">
        <v>39</v>
      </c>
      <c r="H146" s="4" t="str">
        <f>IF(AND(A146="Yes",C146="School"),COUNTIFS($A$6:A146,"Yes",$C$6:C146,"School"),"")</f>
        <v/>
      </c>
    </row>
    <row r="147" spans="1:8">
      <c r="A147" s="13"/>
      <c r="B147" s="1" t="s">
        <v>313</v>
      </c>
      <c r="C147" s="1" t="s">
        <v>40</v>
      </c>
      <c r="D147" s="1" t="s">
        <v>41</v>
      </c>
      <c r="E147" s="1" t="s">
        <v>314</v>
      </c>
      <c r="F147" s="2">
        <v>3769</v>
      </c>
      <c r="G147" s="3">
        <v>71.3</v>
      </c>
      <c r="H147" s="4" t="str">
        <f>IF(AND(A147="Yes",C147="School"),COUNTIFS($A$6:A147,"Yes",$C$6:C147,"School"),"")</f>
        <v/>
      </c>
    </row>
    <row r="148" spans="1:8">
      <c r="A148" s="13"/>
      <c r="B148" s="1" t="s">
        <v>313</v>
      </c>
      <c r="C148" s="1" t="s">
        <v>24</v>
      </c>
      <c r="D148" s="1" t="s">
        <v>315</v>
      </c>
      <c r="E148" s="1" t="s">
        <v>316</v>
      </c>
      <c r="F148" s="2">
        <v>123</v>
      </c>
      <c r="G148" s="3">
        <v>52.8</v>
      </c>
      <c r="H148" s="4" t="str">
        <f>IF(AND(A148="Yes",C148="School"),COUNTIFS($A$6:A148,"Yes",$C$6:C148,"School"),"")</f>
        <v/>
      </c>
    </row>
    <row r="149" spans="1:8">
      <c r="A149" s="13"/>
      <c r="B149" s="1" t="s">
        <v>313</v>
      </c>
      <c r="C149" s="1" t="s">
        <v>24</v>
      </c>
      <c r="D149" s="1" t="s">
        <v>317</v>
      </c>
      <c r="E149" s="1" t="s">
        <v>318</v>
      </c>
      <c r="F149" s="2">
        <v>147</v>
      </c>
      <c r="G149" s="3">
        <v>81</v>
      </c>
      <c r="H149" s="4" t="str">
        <f>IF(AND(A149="Yes",C149="School"),COUNTIFS($A$6:A149,"Yes",$C$6:C149,"School"),"")</f>
        <v/>
      </c>
    </row>
    <row r="150" spans="1:8">
      <c r="A150" s="13"/>
      <c r="B150" s="1" t="s">
        <v>313</v>
      </c>
      <c r="C150" s="1" t="s">
        <v>24</v>
      </c>
      <c r="D150" s="1" t="s">
        <v>319</v>
      </c>
      <c r="E150" s="1" t="s">
        <v>320</v>
      </c>
      <c r="F150" s="2">
        <v>268</v>
      </c>
      <c r="G150" s="3">
        <v>70.099999999999994</v>
      </c>
      <c r="H150" s="4" t="str">
        <f>IF(AND(A150="Yes",C150="School"),COUNTIFS($A$6:A150,"Yes",$C$6:C150,"School"),"")</f>
        <v/>
      </c>
    </row>
    <row r="151" spans="1:8">
      <c r="A151" s="13"/>
      <c r="B151" s="1" t="s">
        <v>313</v>
      </c>
      <c r="C151" s="1" t="s">
        <v>24</v>
      </c>
      <c r="D151" s="1" t="s">
        <v>321</v>
      </c>
      <c r="E151" s="1" t="s">
        <v>322</v>
      </c>
      <c r="F151" s="2">
        <v>442</v>
      </c>
      <c r="G151" s="3">
        <v>77.099999999999994</v>
      </c>
      <c r="H151" s="4" t="str">
        <f>IF(AND(A151="Yes",C151="School"),COUNTIFS($A$6:A151,"Yes",$C$6:C151,"School"),"")</f>
        <v/>
      </c>
    </row>
    <row r="152" spans="1:8">
      <c r="A152" s="13"/>
      <c r="B152" s="1" t="s">
        <v>313</v>
      </c>
      <c r="C152" s="1" t="s">
        <v>24</v>
      </c>
      <c r="D152" s="1" t="s">
        <v>323</v>
      </c>
      <c r="E152" s="1" t="s">
        <v>324</v>
      </c>
      <c r="F152" s="2">
        <v>129</v>
      </c>
      <c r="G152" s="3">
        <v>70.5</v>
      </c>
      <c r="H152" s="4" t="str">
        <f>IF(AND(A152="Yes",C152="School"),COUNTIFS($A$6:A152,"Yes",$C$6:C152,"School"),"")</f>
        <v/>
      </c>
    </row>
    <row r="153" spans="1:8">
      <c r="A153" s="13"/>
      <c r="B153" s="1" t="s">
        <v>313</v>
      </c>
      <c r="C153" s="1" t="s">
        <v>24</v>
      </c>
      <c r="D153" s="1" t="s">
        <v>325</v>
      </c>
      <c r="E153" s="1" t="s">
        <v>326</v>
      </c>
      <c r="F153" s="2">
        <v>215</v>
      </c>
      <c r="G153" s="3">
        <v>74</v>
      </c>
      <c r="H153" s="4" t="str">
        <f>IF(AND(A153="Yes",C153="School"),COUNTIFS($A$6:A153,"Yes",$C$6:C153,"School"),"")</f>
        <v/>
      </c>
    </row>
    <row r="154" spans="1:8">
      <c r="A154" s="13"/>
      <c r="B154" s="1" t="s">
        <v>313</v>
      </c>
      <c r="C154" s="1" t="s">
        <v>24</v>
      </c>
      <c r="D154" s="1" t="s">
        <v>327</v>
      </c>
      <c r="E154" s="1" t="s">
        <v>328</v>
      </c>
      <c r="F154" s="2">
        <v>53</v>
      </c>
      <c r="G154" s="3">
        <v>90.6</v>
      </c>
      <c r="H154" s="4" t="str">
        <f>IF(AND(A154="Yes",C154="School"),COUNTIFS($A$6:A154,"Yes",$C$6:C154,"School"),"")</f>
        <v/>
      </c>
    </row>
    <row r="155" spans="1:8">
      <c r="A155" s="13"/>
      <c r="B155" s="1" t="s">
        <v>313</v>
      </c>
      <c r="C155" s="1" t="s">
        <v>24</v>
      </c>
      <c r="D155" s="1" t="s">
        <v>329</v>
      </c>
      <c r="E155" s="1" t="s">
        <v>330</v>
      </c>
      <c r="F155" s="2">
        <v>467</v>
      </c>
      <c r="G155" s="3">
        <v>63</v>
      </c>
      <c r="H155" s="4" t="str">
        <f>IF(AND(A155="Yes",C155="School"),COUNTIFS($A$6:A155,"Yes",$C$6:C155,"School"),"")</f>
        <v/>
      </c>
    </row>
    <row r="156" spans="1:8">
      <c r="A156" s="13"/>
      <c r="B156" s="1" t="s">
        <v>313</v>
      </c>
      <c r="C156" s="1" t="s">
        <v>24</v>
      </c>
      <c r="D156" s="1" t="s">
        <v>331</v>
      </c>
      <c r="E156" s="1" t="s">
        <v>332</v>
      </c>
      <c r="F156" s="2">
        <v>286</v>
      </c>
      <c r="G156" s="3">
        <v>80.8</v>
      </c>
      <c r="H156" s="4" t="str">
        <f>IF(AND(A156="Yes",C156="School"),COUNTIFS($A$6:A156,"Yes",$C$6:C156,"School"),"")</f>
        <v/>
      </c>
    </row>
    <row r="157" spans="1:8">
      <c r="A157" s="13"/>
      <c r="B157" s="1" t="s">
        <v>313</v>
      </c>
      <c r="C157" s="1" t="s">
        <v>24</v>
      </c>
      <c r="D157" s="1" t="s">
        <v>333</v>
      </c>
      <c r="E157" s="1" t="s">
        <v>334</v>
      </c>
      <c r="F157" s="2">
        <v>495</v>
      </c>
      <c r="G157" s="3">
        <v>87.7</v>
      </c>
      <c r="H157" s="4" t="str">
        <f>IF(AND(A157="Yes",C157="School"),COUNTIFS($A$6:A157,"Yes",$C$6:C157,"School"),"")</f>
        <v/>
      </c>
    </row>
    <row r="158" spans="1:8">
      <c r="A158" s="13"/>
      <c r="B158" s="1" t="s">
        <v>313</v>
      </c>
      <c r="C158" s="1" t="s">
        <v>24</v>
      </c>
      <c r="D158" s="1" t="s">
        <v>335</v>
      </c>
      <c r="E158" s="1" t="s">
        <v>336</v>
      </c>
      <c r="F158" s="2">
        <v>475</v>
      </c>
      <c r="G158" s="3">
        <v>71.400000000000006</v>
      </c>
      <c r="H158" s="4" t="str">
        <f>IF(AND(A158="Yes",C158="School"),COUNTIFS($A$6:A158,"Yes",$C$6:C158,"School"),"")</f>
        <v/>
      </c>
    </row>
    <row r="159" spans="1:8">
      <c r="A159" s="13"/>
      <c r="B159" s="1" t="s">
        <v>313</v>
      </c>
      <c r="C159" s="1" t="s">
        <v>24</v>
      </c>
      <c r="D159" s="1" t="s">
        <v>337</v>
      </c>
      <c r="E159" s="1" t="s">
        <v>338</v>
      </c>
      <c r="F159" s="2">
        <v>669</v>
      </c>
      <c r="G159" s="3">
        <v>56.5</v>
      </c>
      <c r="H159" s="4" t="str">
        <f>IF(AND(A159="Yes",C159="School"),COUNTIFS($A$6:A159,"Yes",$C$6:C159,"School"),"")</f>
        <v/>
      </c>
    </row>
    <row r="160" spans="1:8">
      <c r="A160" s="13"/>
      <c r="B160" s="1" t="s">
        <v>339</v>
      </c>
      <c r="C160" s="1" t="s">
        <v>24</v>
      </c>
      <c r="D160" s="1" t="s">
        <v>339</v>
      </c>
      <c r="E160" s="1" t="s">
        <v>340</v>
      </c>
      <c r="F160" s="2">
        <v>728</v>
      </c>
      <c r="G160" s="3">
        <v>62.2</v>
      </c>
      <c r="H160" s="4" t="str">
        <f>IF(AND(A160="Yes",C160="School"),COUNTIFS($A$6:A160,"Yes",$C$6:C160,"School"),"")</f>
        <v/>
      </c>
    </row>
    <row r="161" spans="1:8">
      <c r="A161" s="13"/>
      <c r="B161" s="1" t="s">
        <v>341</v>
      </c>
      <c r="C161" s="1" t="s">
        <v>24</v>
      </c>
      <c r="D161" s="1" t="s">
        <v>341</v>
      </c>
      <c r="E161" s="1" t="s">
        <v>342</v>
      </c>
      <c r="F161" s="2">
        <v>1232</v>
      </c>
      <c r="G161" s="3">
        <v>48</v>
      </c>
      <c r="H161" s="4" t="str">
        <f>IF(AND(A161="Yes",C161="School"),COUNTIFS($A$6:A161,"Yes",$C$6:C161,"School"),"")</f>
        <v/>
      </c>
    </row>
    <row r="162" spans="1:8">
      <c r="A162" s="13"/>
      <c r="B162" s="1" t="s">
        <v>343</v>
      </c>
      <c r="C162" s="1" t="s">
        <v>24</v>
      </c>
      <c r="D162" s="1" t="s">
        <v>343</v>
      </c>
      <c r="E162" s="1" t="s">
        <v>344</v>
      </c>
      <c r="F162" s="2">
        <v>1532</v>
      </c>
      <c r="G162" s="3">
        <v>25.2</v>
      </c>
      <c r="H162" s="4" t="str">
        <f>IF(AND(A162="Yes",C162="School"),COUNTIFS($A$6:A162,"Yes",$C$6:C162,"School"),"")</f>
        <v/>
      </c>
    </row>
    <row r="163" spans="1:8">
      <c r="A163" s="13"/>
      <c r="B163" s="1" t="s">
        <v>345</v>
      </c>
      <c r="C163" s="1" t="s">
        <v>24</v>
      </c>
      <c r="D163" s="1" t="s">
        <v>345</v>
      </c>
      <c r="E163" s="1" t="s">
        <v>346</v>
      </c>
      <c r="F163" s="2">
        <v>418</v>
      </c>
      <c r="G163" s="3">
        <v>32.799999999999997</v>
      </c>
      <c r="H163" s="4" t="str">
        <f>IF(AND(A163="Yes",C163="School"),COUNTIFS($A$6:A163,"Yes",$C$6:C163,"School"),"")</f>
        <v/>
      </c>
    </row>
    <row r="164" spans="1:8">
      <c r="A164" s="13"/>
      <c r="B164" s="1" t="s">
        <v>347</v>
      </c>
      <c r="C164" s="1" t="s">
        <v>40</v>
      </c>
      <c r="D164" s="1" t="s">
        <v>41</v>
      </c>
      <c r="E164" s="1" t="s">
        <v>348</v>
      </c>
      <c r="F164" s="2">
        <v>13694</v>
      </c>
      <c r="G164" s="3">
        <v>50.7</v>
      </c>
      <c r="H164" s="4" t="str">
        <f>IF(AND(A164="Yes",C164="School"),COUNTIFS($A$6:A164,"Yes",$C$6:C164,"School"),"")</f>
        <v/>
      </c>
    </row>
    <row r="165" spans="1:8">
      <c r="A165" s="13"/>
      <c r="B165" s="1" t="s">
        <v>347</v>
      </c>
      <c r="C165" s="1" t="s">
        <v>24</v>
      </c>
      <c r="D165" s="1" t="s">
        <v>349</v>
      </c>
      <c r="E165" s="1" t="s">
        <v>350</v>
      </c>
      <c r="F165" s="2">
        <v>857</v>
      </c>
      <c r="G165" s="3">
        <v>45.2</v>
      </c>
      <c r="H165" s="4" t="str">
        <f>IF(AND(A165="Yes",C165="School"),COUNTIFS($A$6:A165,"Yes",$C$6:C165,"School"),"")</f>
        <v/>
      </c>
    </row>
    <row r="166" spans="1:8">
      <c r="A166" s="13"/>
      <c r="B166" s="1" t="s">
        <v>347</v>
      </c>
      <c r="C166" s="1" t="s">
        <v>24</v>
      </c>
      <c r="D166" s="1" t="s">
        <v>351</v>
      </c>
      <c r="E166" s="1" t="s">
        <v>352</v>
      </c>
      <c r="F166" s="2">
        <v>537</v>
      </c>
      <c r="G166" s="3">
        <v>57.2</v>
      </c>
      <c r="H166" s="4" t="str">
        <f>IF(AND(A166="Yes",C166="School"),COUNTIFS($A$6:A166,"Yes",$C$6:C166,"School"),"")</f>
        <v/>
      </c>
    </row>
    <row r="167" spans="1:8">
      <c r="A167" s="13"/>
      <c r="B167" s="1" t="s">
        <v>347</v>
      </c>
      <c r="C167" s="1" t="s">
        <v>24</v>
      </c>
      <c r="D167" s="1" t="s">
        <v>353</v>
      </c>
      <c r="E167" s="1" t="s">
        <v>354</v>
      </c>
      <c r="F167" s="2">
        <v>336</v>
      </c>
      <c r="G167" s="3">
        <v>36.299999999999997</v>
      </c>
      <c r="H167" s="4" t="str">
        <f>IF(AND(A167="Yes",C167="School"),COUNTIFS($A$6:A167,"Yes",$C$6:C167,"School"),"")</f>
        <v/>
      </c>
    </row>
    <row r="168" spans="1:8">
      <c r="A168" s="13"/>
      <c r="B168" s="1" t="s">
        <v>347</v>
      </c>
      <c r="C168" s="1" t="s">
        <v>24</v>
      </c>
      <c r="D168" s="1" t="s">
        <v>355</v>
      </c>
      <c r="E168" s="1" t="s">
        <v>356</v>
      </c>
      <c r="F168" s="2">
        <v>581</v>
      </c>
      <c r="G168" s="3">
        <v>58.7</v>
      </c>
      <c r="H168" s="4" t="str">
        <f>IF(AND(A168="Yes",C168="School"),COUNTIFS($A$6:A168,"Yes",$C$6:C168,"School"),"")</f>
        <v/>
      </c>
    </row>
    <row r="169" spans="1:8">
      <c r="A169" s="13"/>
      <c r="B169" s="1" t="s">
        <v>347</v>
      </c>
      <c r="C169" s="1" t="s">
        <v>24</v>
      </c>
      <c r="D169" s="1" t="s">
        <v>357</v>
      </c>
      <c r="E169" s="1" t="s">
        <v>358</v>
      </c>
      <c r="F169" s="2">
        <v>402</v>
      </c>
      <c r="G169" s="3">
        <v>63.4</v>
      </c>
      <c r="H169" s="4" t="str">
        <f>IF(AND(A169="Yes",C169="School"),COUNTIFS($A$6:A169,"Yes",$C$6:C169,"School"),"")</f>
        <v/>
      </c>
    </row>
    <row r="170" spans="1:8">
      <c r="A170" s="13"/>
      <c r="B170" s="1" t="s">
        <v>347</v>
      </c>
      <c r="C170" s="1" t="s">
        <v>24</v>
      </c>
      <c r="D170" s="1" t="s">
        <v>359</v>
      </c>
      <c r="E170" s="1" t="s">
        <v>360</v>
      </c>
      <c r="F170" s="2">
        <v>802</v>
      </c>
      <c r="G170" s="3">
        <v>50.4</v>
      </c>
      <c r="H170" s="4" t="str">
        <f>IF(AND(A170="Yes",C170="School"),COUNTIFS($A$6:A170,"Yes",$C$6:C170,"School"),"")</f>
        <v/>
      </c>
    </row>
    <row r="171" spans="1:8">
      <c r="A171" s="13"/>
      <c r="B171" s="1" t="s">
        <v>347</v>
      </c>
      <c r="C171" s="1" t="s">
        <v>24</v>
      </c>
      <c r="D171" s="1" t="s">
        <v>361</v>
      </c>
      <c r="E171" s="1" t="s">
        <v>362</v>
      </c>
      <c r="F171" s="2">
        <v>780</v>
      </c>
      <c r="G171" s="3">
        <v>62.3</v>
      </c>
      <c r="H171" s="4" t="str">
        <f>IF(AND(A171="Yes",C171="School"),COUNTIFS($A$6:A171,"Yes",$C$6:C171,"School"),"")</f>
        <v/>
      </c>
    </row>
    <row r="172" spans="1:8">
      <c r="A172" s="13"/>
      <c r="B172" s="1" t="s">
        <v>347</v>
      </c>
      <c r="C172" s="1" t="s">
        <v>24</v>
      </c>
      <c r="D172" s="1" t="s">
        <v>363</v>
      </c>
      <c r="E172" s="1" t="s">
        <v>364</v>
      </c>
      <c r="F172" s="2">
        <v>1569</v>
      </c>
      <c r="G172" s="3">
        <v>41.3</v>
      </c>
      <c r="H172" s="4" t="str">
        <f>IF(AND(A172="Yes",C172="School"),COUNTIFS($A$6:A172,"Yes",$C$6:C172,"School"),"")</f>
        <v/>
      </c>
    </row>
    <row r="173" spans="1:8">
      <c r="A173" s="13"/>
      <c r="B173" s="1" t="s">
        <v>347</v>
      </c>
      <c r="C173" s="1" t="s">
        <v>24</v>
      </c>
      <c r="D173" s="1" t="s">
        <v>365</v>
      </c>
      <c r="E173" s="1" t="s">
        <v>366</v>
      </c>
      <c r="F173" s="2">
        <v>602</v>
      </c>
      <c r="G173" s="3">
        <v>50.3</v>
      </c>
      <c r="H173" s="4" t="str">
        <f>IF(AND(A173="Yes",C173="School"),COUNTIFS($A$6:A173,"Yes",$C$6:C173,"School"),"")</f>
        <v/>
      </c>
    </row>
    <row r="174" spans="1:8">
      <c r="A174" s="13"/>
      <c r="B174" s="1" t="s">
        <v>347</v>
      </c>
      <c r="C174" s="1" t="s">
        <v>24</v>
      </c>
      <c r="D174" s="1" t="s">
        <v>367</v>
      </c>
      <c r="E174" s="1" t="s">
        <v>368</v>
      </c>
      <c r="F174" s="2">
        <v>1066</v>
      </c>
      <c r="G174" s="3">
        <v>38.6</v>
      </c>
      <c r="H174" s="4" t="str">
        <f>IF(AND(A174="Yes",C174="School"),COUNTIFS($A$6:A174,"Yes",$C$6:C174,"School"),"")</f>
        <v/>
      </c>
    </row>
    <row r="175" spans="1:8">
      <c r="A175" s="13"/>
      <c r="B175" s="1" t="s">
        <v>347</v>
      </c>
      <c r="C175" s="1" t="s">
        <v>24</v>
      </c>
      <c r="D175" s="1" t="s">
        <v>369</v>
      </c>
      <c r="E175" s="1" t="s">
        <v>370</v>
      </c>
      <c r="F175" s="2">
        <v>569</v>
      </c>
      <c r="G175" s="3">
        <v>42.7</v>
      </c>
      <c r="H175" s="4" t="str">
        <f>IF(AND(A175="Yes",C175="School"),COUNTIFS($A$6:A175,"Yes",$C$6:C175,"School"),"")</f>
        <v/>
      </c>
    </row>
    <row r="176" spans="1:8">
      <c r="A176" s="13"/>
      <c r="B176" s="1" t="s">
        <v>347</v>
      </c>
      <c r="C176" s="1" t="s">
        <v>24</v>
      </c>
      <c r="D176" s="1" t="s">
        <v>371</v>
      </c>
      <c r="E176" s="1" t="s">
        <v>372</v>
      </c>
      <c r="F176" s="2">
        <v>378</v>
      </c>
      <c r="G176" s="3">
        <v>46.6</v>
      </c>
      <c r="H176" s="4" t="str">
        <f>IF(AND(A176="Yes",C176="School"),COUNTIFS($A$6:A176,"Yes",$C$6:C176,"School"),"")</f>
        <v/>
      </c>
    </row>
    <row r="177" spans="1:8">
      <c r="A177" s="13"/>
      <c r="B177" s="1" t="s">
        <v>347</v>
      </c>
      <c r="C177" s="1" t="s">
        <v>24</v>
      </c>
      <c r="D177" s="1" t="s">
        <v>373</v>
      </c>
      <c r="E177" s="1" t="s">
        <v>374</v>
      </c>
      <c r="F177" s="2">
        <v>630</v>
      </c>
      <c r="G177" s="3">
        <v>76</v>
      </c>
      <c r="H177" s="4" t="str">
        <f>IF(AND(A177="Yes",C177="School"),COUNTIFS($A$6:A177,"Yes",$C$6:C177,"School"),"")</f>
        <v/>
      </c>
    </row>
    <row r="178" spans="1:8">
      <c r="A178" s="13"/>
      <c r="B178" s="1" t="s">
        <v>347</v>
      </c>
      <c r="C178" s="1" t="s">
        <v>24</v>
      </c>
      <c r="D178" s="1" t="s">
        <v>375</v>
      </c>
      <c r="E178" s="1" t="s">
        <v>376</v>
      </c>
      <c r="F178" s="2">
        <v>133</v>
      </c>
      <c r="G178" s="3">
        <v>58.6</v>
      </c>
      <c r="H178" s="4" t="str">
        <f>IF(AND(A178="Yes",C178="School"),COUNTIFS($A$6:A178,"Yes",$C$6:C178,"School"),"")</f>
        <v/>
      </c>
    </row>
    <row r="179" spans="1:8">
      <c r="A179" s="13"/>
      <c r="B179" s="1" t="s">
        <v>347</v>
      </c>
      <c r="C179" s="1" t="s">
        <v>24</v>
      </c>
      <c r="D179" s="1" t="s">
        <v>377</v>
      </c>
      <c r="E179" s="1" t="s">
        <v>378</v>
      </c>
      <c r="F179" s="2">
        <v>925</v>
      </c>
      <c r="G179" s="3">
        <v>46.7</v>
      </c>
      <c r="H179" s="4" t="str">
        <f>IF(AND(A179="Yes",C179="School"),COUNTIFS($A$6:A179,"Yes",$C$6:C179,"School"),"")</f>
        <v/>
      </c>
    </row>
    <row r="180" spans="1:8">
      <c r="A180" s="13"/>
      <c r="B180" s="1" t="s">
        <v>347</v>
      </c>
      <c r="C180" s="1" t="s">
        <v>24</v>
      </c>
      <c r="D180" s="1" t="s">
        <v>379</v>
      </c>
      <c r="E180" s="1" t="s">
        <v>380</v>
      </c>
      <c r="F180" s="2">
        <v>438</v>
      </c>
      <c r="G180" s="3">
        <v>40.6</v>
      </c>
      <c r="H180" s="4" t="str">
        <f>IF(AND(A180="Yes",C180="School"),COUNTIFS($A$6:A180,"Yes",$C$6:C180,"School"),"")</f>
        <v/>
      </c>
    </row>
    <row r="181" spans="1:8">
      <c r="A181" s="13"/>
      <c r="B181" s="1" t="s">
        <v>347</v>
      </c>
      <c r="C181" s="1" t="s">
        <v>24</v>
      </c>
      <c r="D181" s="1" t="s">
        <v>381</v>
      </c>
      <c r="E181" s="1" t="s">
        <v>382</v>
      </c>
      <c r="F181" s="2">
        <v>684</v>
      </c>
      <c r="G181" s="3">
        <v>51.5</v>
      </c>
      <c r="H181" s="4" t="str">
        <f>IF(AND(A181="Yes",C181="School"),COUNTIFS($A$6:A181,"Yes",$C$6:C181,"School"),"")</f>
        <v/>
      </c>
    </row>
    <row r="182" spans="1:8">
      <c r="A182" s="13"/>
      <c r="B182" s="1" t="s">
        <v>347</v>
      </c>
      <c r="C182" s="1" t="s">
        <v>24</v>
      </c>
      <c r="D182" s="1" t="s">
        <v>383</v>
      </c>
      <c r="E182" s="1" t="s">
        <v>384</v>
      </c>
      <c r="F182" s="2">
        <v>652</v>
      </c>
      <c r="G182" s="3">
        <v>58.4</v>
      </c>
      <c r="H182" s="4" t="str">
        <f>IF(AND(A182="Yes",C182="School"),COUNTIFS($A$6:A182,"Yes",$C$6:C182,"School"),"")</f>
        <v/>
      </c>
    </row>
    <row r="183" spans="1:8">
      <c r="A183" s="13"/>
      <c r="B183" s="1" t="s">
        <v>347</v>
      </c>
      <c r="C183" s="1" t="s">
        <v>24</v>
      </c>
      <c r="D183" s="1" t="s">
        <v>385</v>
      </c>
      <c r="E183" s="1" t="s">
        <v>386</v>
      </c>
      <c r="F183" s="2">
        <v>408</v>
      </c>
      <c r="G183" s="3">
        <v>62.7</v>
      </c>
      <c r="H183" s="4" t="str">
        <f>IF(AND(A183="Yes",C183="School"),COUNTIFS($A$6:A183,"Yes",$C$6:C183,"School"),"")</f>
        <v/>
      </c>
    </row>
    <row r="184" spans="1:8">
      <c r="A184" s="13"/>
      <c r="B184" s="1" t="s">
        <v>347</v>
      </c>
      <c r="C184" s="1" t="s">
        <v>24</v>
      </c>
      <c r="D184" s="1" t="s">
        <v>387</v>
      </c>
      <c r="E184" s="1" t="s">
        <v>388</v>
      </c>
      <c r="F184" s="2">
        <v>1345</v>
      </c>
      <c r="G184" s="3">
        <v>52.1</v>
      </c>
      <c r="H184" s="4" t="str">
        <f>IF(AND(A184="Yes",C184="School"),COUNTIFS($A$6:A184,"Yes",$C$6:C184,"School"),"")</f>
        <v/>
      </c>
    </row>
    <row r="185" spans="1:8">
      <c r="A185" s="13"/>
      <c r="B185" s="1" t="s">
        <v>389</v>
      </c>
      <c r="C185" s="1" t="s">
        <v>40</v>
      </c>
      <c r="D185" s="1" t="s">
        <v>41</v>
      </c>
      <c r="E185" s="1" t="s">
        <v>390</v>
      </c>
      <c r="F185" s="2">
        <v>21517</v>
      </c>
      <c r="G185" s="3">
        <v>42.7</v>
      </c>
      <c r="H185" s="4" t="str">
        <f>IF(AND(A185="Yes",C185="School"),COUNTIFS($A$6:A185,"Yes",$C$6:C185,"School"),"")</f>
        <v/>
      </c>
    </row>
    <row r="186" spans="1:8">
      <c r="A186" s="13"/>
      <c r="B186" s="1" t="s">
        <v>389</v>
      </c>
      <c r="C186" s="1" t="s">
        <v>24</v>
      </c>
      <c r="D186" s="1" t="s">
        <v>391</v>
      </c>
      <c r="E186" s="1" t="s">
        <v>392</v>
      </c>
      <c r="F186" s="2">
        <v>555</v>
      </c>
      <c r="G186" s="3">
        <v>50.6</v>
      </c>
      <c r="H186" s="4" t="str">
        <f>IF(AND(A186="Yes",C186="School"),COUNTIFS($A$6:A186,"Yes",$C$6:C186,"School"),"")</f>
        <v/>
      </c>
    </row>
    <row r="187" spans="1:8">
      <c r="A187" s="13"/>
      <c r="B187" s="1" t="s">
        <v>389</v>
      </c>
      <c r="C187" s="1" t="s">
        <v>24</v>
      </c>
      <c r="D187" s="1" t="s">
        <v>393</v>
      </c>
      <c r="E187" s="1" t="s">
        <v>394</v>
      </c>
      <c r="F187" s="2">
        <v>121</v>
      </c>
      <c r="G187" s="3">
        <v>64.5</v>
      </c>
      <c r="H187" s="4" t="str">
        <f>IF(AND(A187="Yes",C187="School"),COUNTIFS($A$6:A187,"Yes",$C$6:C187,"School"),"")</f>
        <v/>
      </c>
    </row>
    <row r="188" spans="1:8">
      <c r="A188" s="13"/>
      <c r="B188" s="1" t="s">
        <v>389</v>
      </c>
      <c r="C188" s="1" t="s">
        <v>24</v>
      </c>
      <c r="D188" s="1" t="s">
        <v>395</v>
      </c>
      <c r="E188" s="1" t="s">
        <v>396</v>
      </c>
      <c r="F188" s="2">
        <v>222</v>
      </c>
      <c r="G188" s="3">
        <v>47.3</v>
      </c>
      <c r="H188" s="4" t="str">
        <f>IF(AND(A188="Yes",C188="School"),COUNTIFS($A$6:A188,"Yes",$C$6:C188,"School"),"")</f>
        <v/>
      </c>
    </row>
    <row r="189" spans="1:8">
      <c r="A189" s="13"/>
      <c r="B189" s="1" t="s">
        <v>389</v>
      </c>
      <c r="C189" s="1" t="s">
        <v>24</v>
      </c>
      <c r="D189" s="1" t="s">
        <v>397</v>
      </c>
      <c r="E189" s="1" t="s">
        <v>398</v>
      </c>
      <c r="F189" s="2">
        <v>186</v>
      </c>
      <c r="G189" s="3">
        <v>43</v>
      </c>
      <c r="H189" s="4" t="str">
        <f>IF(AND(A189="Yes",C189="School"),COUNTIFS($A$6:A189,"Yes",$C$6:C189,"School"),"")</f>
        <v/>
      </c>
    </row>
    <row r="190" spans="1:8">
      <c r="A190" s="13"/>
      <c r="B190" s="1" t="s">
        <v>389</v>
      </c>
      <c r="C190" s="1" t="s">
        <v>24</v>
      </c>
      <c r="D190" s="1" t="s">
        <v>399</v>
      </c>
      <c r="E190" s="1" t="s">
        <v>400</v>
      </c>
      <c r="F190" s="2">
        <v>344</v>
      </c>
      <c r="G190" s="3">
        <v>48.3</v>
      </c>
      <c r="H190" s="4" t="str">
        <f>IF(AND(A190="Yes",C190="School"),COUNTIFS($A$6:A190,"Yes",$C$6:C190,"School"),"")</f>
        <v/>
      </c>
    </row>
    <row r="191" spans="1:8">
      <c r="A191" s="13"/>
      <c r="B191" s="1" t="s">
        <v>389</v>
      </c>
      <c r="C191" s="1" t="s">
        <v>24</v>
      </c>
      <c r="D191" s="1" t="s">
        <v>401</v>
      </c>
      <c r="E191" s="1" t="s">
        <v>402</v>
      </c>
      <c r="F191" s="2">
        <v>349</v>
      </c>
      <c r="G191" s="3">
        <v>46.4</v>
      </c>
      <c r="H191" s="4" t="str">
        <f>IF(AND(A191="Yes",C191="School"),COUNTIFS($A$6:A191,"Yes",$C$6:C191,"School"),"")</f>
        <v/>
      </c>
    </row>
    <row r="192" spans="1:8">
      <c r="A192" s="13"/>
      <c r="B192" s="1" t="s">
        <v>389</v>
      </c>
      <c r="C192" s="1" t="s">
        <v>24</v>
      </c>
      <c r="D192" s="1" t="s">
        <v>403</v>
      </c>
      <c r="E192" s="1" t="s">
        <v>404</v>
      </c>
      <c r="F192" s="2">
        <v>406</v>
      </c>
      <c r="G192" s="3">
        <v>61.1</v>
      </c>
      <c r="H192" s="4" t="str">
        <f>IF(AND(A192="Yes",C192="School"),COUNTIFS($A$6:A192,"Yes",$C$6:C192,"School"),"")</f>
        <v/>
      </c>
    </row>
    <row r="193" spans="1:8">
      <c r="A193" s="13"/>
      <c r="B193" s="1" t="s">
        <v>389</v>
      </c>
      <c r="C193" s="1" t="s">
        <v>24</v>
      </c>
      <c r="D193" s="1" t="s">
        <v>405</v>
      </c>
      <c r="E193" s="1" t="s">
        <v>406</v>
      </c>
      <c r="F193" s="2">
        <v>479</v>
      </c>
      <c r="G193" s="3">
        <v>31.5</v>
      </c>
      <c r="H193" s="4" t="str">
        <f>IF(AND(A193="Yes",C193="School"),COUNTIFS($A$6:A193,"Yes",$C$6:C193,"School"),"")</f>
        <v/>
      </c>
    </row>
    <row r="194" spans="1:8">
      <c r="A194" s="13"/>
      <c r="B194" s="1" t="s">
        <v>389</v>
      </c>
      <c r="C194" s="1" t="s">
        <v>24</v>
      </c>
      <c r="D194" s="1" t="s">
        <v>407</v>
      </c>
      <c r="E194" s="1" t="s">
        <v>408</v>
      </c>
      <c r="F194" s="2">
        <v>25</v>
      </c>
      <c r="G194" s="3">
        <v>52</v>
      </c>
      <c r="H194" s="4" t="str">
        <f>IF(AND(A194="Yes",C194="School"),COUNTIFS($A$6:A194,"Yes",$C$6:C194,"School"),"")</f>
        <v/>
      </c>
    </row>
    <row r="195" spans="1:8">
      <c r="A195" s="13"/>
      <c r="B195" s="1" t="s">
        <v>389</v>
      </c>
      <c r="C195" s="1" t="s">
        <v>24</v>
      </c>
      <c r="D195" s="1" t="s">
        <v>409</v>
      </c>
      <c r="E195" s="1" t="s">
        <v>410</v>
      </c>
      <c r="F195" s="2">
        <v>132</v>
      </c>
      <c r="G195" s="3">
        <v>73.5</v>
      </c>
      <c r="H195" s="4" t="str">
        <f>IF(AND(A195="Yes",C195="School"),COUNTIFS($A$6:A195,"Yes",$C$6:C195,"School"),"")</f>
        <v/>
      </c>
    </row>
    <row r="196" spans="1:8">
      <c r="A196" s="13"/>
      <c r="B196" s="1" t="s">
        <v>389</v>
      </c>
      <c r="C196" s="1" t="s">
        <v>24</v>
      </c>
      <c r="D196" s="1" t="s">
        <v>411</v>
      </c>
      <c r="E196" s="1" t="s">
        <v>412</v>
      </c>
      <c r="F196" s="2">
        <v>227</v>
      </c>
      <c r="G196" s="3">
        <v>39.200000000000003</v>
      </c>
      <c r="H196" s="4" t="str">
        <f>IF(AND(A196="Yes",C196="School"),COUNTIFS($A$6:A196,"Yes",$C$6:C196,"School"),"")</f>
        <v/>
      </c>
    </row>
    <row r="197" spans="1:8">
      <c r="A197" s="13"/>
      <c r="B197" s="1" t="s">
        <v>389</v>
      </c>
      <c r="C197" s="1" t="s">
        <v>24</v>
      </c>
      <c r="D197" s="1" t="s">
        <v>413</v>
      </c>
      <c r="E197" s="1" t="s">
        <v>414</v>
      </c>
      <c r="F197" s="2">
        <v>549</v>
      </c>
      <c r="G197" s="3">
        <v>49.2</v>
      </c>
      <c r="H197" s="4" t="str">
        <f>IF(AND(A197="Yes",C197="School"),COUNTIFS($A$6:A197,"Yes",$C$6:C197,"School"),"")</f>
        <v/>
      </c>
    </row>
    <row r="198" spans="1:8">
      <c r="A198" s="13"/>
      <c r="B198" s="1" t="s">
        <v>389</v>
      </c>
      <c r="C198" s="1" t="s">
        <v>24</v>
      </c>
      <c r="D198" s="1" t="s">
        <v>415</v>
      </c>
      <c r="E198" s="1" t="s">
        <v>416</v>
      </c>
      <c r="F198" s="2">
        <v>242</v>
      </c>
      <c r="G198" s="3">
        <v>60.7</v>
      </c>
      <c r="H198" s="4" t="str">
        <f>IF(AND(A198="Yes",C198="School"),COUNTIFS($A$6:A198,"Yes",$C$6:C198,"School"),"")</f>
        <v/>
      </c>
    </row>
    <row r="199" spans="1:8">
      <c r="A199" s="13"/>
      <c r="B199" s="1" t="s">
        <v>389</v>
      </c>
      <c r="C199" s="1" t="s">
        <v>24</v>
      </c>
      <c r="D199" s="1" t="s">
        <v>417</v>
      </c>
      <c r="E199" s="1" t="s">
        <v>418</v>
      </c>
      <c r="F199" s="2">
        <v>987</v>
      </c>
      <c r="G199" s="3">
        <v>39.799999999999997</v>
      </c>
      <c r="H199" s="4" t="str">
        <f>IF(AND(A199="Yes",C199="School"),COUNTIFS($A$6:A199,"Yes",$C$6:C199,"School"),"")</f>
        <v/>
      </c>
    </row>
    <row r="200" spans="1:8">
      <c r="A200" s="13"/>
      <c r="B200" s="1" t="s">
        <v>389</v>
      </c>
      <c r="C200" s="1" t="s">
        <v>24</v>
      </c>
      <c r="D200" s="1" t="s">
        <v>419</v>
      </c>
      <c r="E200" s="1" t="s">
        <v>420</v>
      </c>
      <c r="F200" s="2">
        <v>556</v>
      </c>
      <c r="G200" s="3">
        <v>42.3</v>
      </c>
      <c r="H200" s="4" t="str">
        <f>IF(AND(A200="Yes",C200="School"),COUNTIFS($A$6:A200,"Yes",$C$6:C200,"School"),"")</f>
        <v/>
      </c>
    </row>
    <row r="201" spans="1:8">
      <c r="A201" s="13"/>
      <c r="B201" s="1" t="s">
        <v>389</v>
      </c>
      <c r="C201" s="1" t="s">
        <v>24</v>
      </c>
      <c r="D201" s="1" t="s">
        <v>421</v>
      </c>
      <c r="E201" s="1" t="s">
        <v>422</v>
      </c>
      <c r="F201" s="2">
        <v>539</v>
      </c>
      <c r="G201" s="3">
        <v>41.4</v>
      </c>
      <c r="H201" s="4" t="str">
        <f>IF(AND(A201="Yes",C201="School"),COUNTIFS($A$6:A201,"Yes",$C$6:C201,"School"),"")</f>
        <v/>
      </c>
    </row>
    <row r="202" spans="1:8">
      <c r="A202" s="13"/>
      <c r="B202" s="1" t="s">
        <v>389</v>
      </c>
      <c r="C202" s="1" t="s">
        <v>24</v>
      </c>
      <c r="D202" s="1" t="s">
        <v>423</v>
      </c>
      <c r="E202" s="1" t="s">
        <v>424</v>
      </c>
      <c r="F202" s="2">
        <v>856</v>
      </c>
      <c r="G202" s="3">
        <v>49.3</v>
      </c>
      <c r="H202" s="4" t="str">
        <f>IF(AND(A202="Yes",C202="School"),COUNTIFS($A$6:A202,"Yes",$C$6:C202,"School"),"")</f>
        <v/>
      </c>
    </row>
    <row r="203" spans="1:8">
      <c r="A203" s="13"/>
      <c r="B203" s="1" t="s">
        <v>389</v>
      </c>
      <c r="C203" s="1" t="s">
        <v>24</v>
      </c>
      <c r="D203" s="1" t="s">
        <v>425</v>
      </c>
      <c r="E203" s="1" t="s">
        <v>426</v>
      </c>
      <c r="F203" s="2">
        <v>527</v>
      </c>
      <c r="G203" s="3">
        <v>52.6</v>
      </c>
      <c r="H203" s="4" t="str">
        <f>IF(AND(A203="Yes",C203="School"),COUNTIFS($A$6:A203,"Yes",$C$6:C203,"School"),"")</f>
        <v/>
      </c>
    </row>
    <row r="204" spans="1:8">
      <c r="A204" s="13"/>
      <c r="B204" s="1" t="s">
        <v>389</v>
      </c>
      <c r="C204" s="1" t="s">
        <v>24</v>
      </c>
      <c r="D204" s="1" t="s">
        <v>427</v>
      </c>
      <c r="E204" s="1" t="s">
        <v>428</v>
      </c>
      <c r="F204" s="2">
        <v>757</v>
      </c>
      <c r="G204" s="3">
        <v>40.299999999999997</v>
      </c>
      <c r="H204" s="4" t="str">
        <f>IF(AND(A204="Yes",C204="School"),COUNTIFS($A$6:A204,"Yes",$C$6:C204,"School"),"")</f>
        <v/>
      </c>
    </row>
    <row r="205" spans="1:8">
      <c r="A205" s="13"/>
      <c r="B205" s="1" t="s">
        <v>389</v>
      </c>
      <c r="C205" s="1" t="s">
        <v>24</v>
      </c>
      <c r="D205" s="1" t="s">
        <v>429</v>
      </c>
      <c r="E205" s="1" t="s">
        <v>430</v>
      </c>
      <c r="F205" s="2">
        <v>566</v>
      </c>
      <c r="G205" s="3">
        <v>35.200000000000003</v>
      </c>
      <c r="H205" s="4" t="str">
        <f>IF(AND(A205="Yes",C205="School"),COUNTIFS($A$6:A205,"Yes",$C$6:C205,"School"),"")</f>
        <v/>
      </c>
    </row>
    <row r="206" spans="1:8">
      <c r="A206" s="13"/>
      <c r="B206" s="1" t="s">
        <v>389</v>
      </c>
      <c r="C206" s="1" t="s">
        <v>24</v>
      </c>
      <c r="D206" s="1" t="s">
        <v>431</v>
      </c>
      <c r="E206" s="1" t="s">
        <v>432</v>
      </c>
      <c r="F206" s="2">
        <v>497</v>
      </c>
      <c r="G206" s="3">
        <v>31.8</v>
      </c>
      <c r="H206" s="4" t="str">
        <f>IF(AND(A206="Yes",C206="School"),COUNTIFS($A$6:A206,"Yes",$C$6:C206,"School"),"")</f>
        <v/>
      </c>
    </row>
    <row r="207" spans="1:8">
      <c r="A207" s="13"/>
      <c r="B207" s="1" t="s">
        <v>389</v>
      </c>
      <c r="C207" s="1" t="s">
        <v>24</v>
      </c>
      <c r="D207" s="1" t="s">
        <v>433</v>
      </c>
      <c r="E207" s="1" t="s">
        <v>434</v>
      </c>
      <c r="F207" s="2">
        <v>360</v>
      </c>
      <c r="G207" s="3">
        <v>41.9</v>
      </c>
      <c r="H207" s="4" t="str">
        <f>IF(AND(A207="Yes",C207="School"),COUNTIFS($A$6:A207,"Yes",$C$6:C207,"School"),"")</f>
        <v/>
      </c>
    </row>
    <row r="208" spans="1:8">
      <c r="A208" s="13"/>
      <c r="B208" s="1" t="s">
        <v>389</v>
      </c>
      <c r="C208" s="1" t="s">
        <v>24</v>
      </c>
      <c r="D208" s="1" t="s">
        <v>435</v>
      </c>
      <c r="E208" s="1" t="s">
        <v>436</v>
      </c>
      <c r="F208" s="2">
        <v>391</v>
      </c>
      <c r="G208" s="3">
        <v>37.9</v>
      </c>
      <c r="H208" s="4" t="str">
        <f>IF(AND(A208="Yes",C208="School"),COUNTIFS($A$6:A208,"Yes",$C$6:C208,"School"),"")</f>
        <v/>
      </c>
    </row>
    <row r="209" spans="1:8">
      <c r="A209" s="13"/>
      <c r="B209" s="1" t="s">
        <v>389</v>
      </c>
      <c r="C209" s="1" t="s">
        <v>24</v>
      </c>
      <c r="D209" s="1" t="s">
        <v>437</v>
      </c>
      <c r="E209" s="1" t="s">
        <v>438</v>
      </c>
      <c r="F209" s="2">
        <v>232</v>
      </c>
      <c r="G209" s="3">
        <v>78</v>
      </c>
      <c r="H209" s="4" t="str">
        <f>IF(AND(A209="Yes",C209="School"),COUNTIFS($A$6:A209,"Yes",$C$6:C209,"School"),"")</f>
        <v/>
      </c>
    </row>
    <row r="210" spans="1:8">
      <c r="A210" s="13"/>
      <c r="B210" s="1" t="s">
        <v>389</v>
      </c>
      <c r="C210" s="1" t="s">
        <v>24</v>
      </c>
      <c r="D210" s="1" t="s">
        <v>439</v>
      </c>
      <c r="E210" s="1" t="s">
        <v>440</v>
      </c>
      <c r="F210" s="2">
        <v>698</v>
      </c>
      <c r="G210" s="3">
        <v>39</v>
      </c>
      <c r="H210" s="4" t="str">
        <f>IF(AND(A210="Yes",C210="School"),COUNTIFS($A$6:A210,"Yes",$C$6:C210,"School"),"")</f>
        <v/>
      </c>
    </row>
    <row r="211" spans="1:8">
      <c r="A211" s="13"/>
      <c r="B211" s="1" t="s">
        <v>389</v>
      </c>
      <c r="C211" s="1" t="s">
        <v>24</v>
      </c>
      <c r="D211" s="1" t="s">
        <v>441</v>
      </c>
      <c r="E211" s="1" t="s">
        <v>442</v>
      </c>
      <c r="F211" s="2">
        <v>399</v>
      </c>
      <c r="G211" s="3">
        <v>63.2</v>
      </c>
      <c r="H211" s="4" t="str">
        <f>IF(AND(A211="Yes",C211="School"),COUNTIFS($A$6:A211,"Yes",$C$6:C211,"School"),"")</f>
        <v/>
      </c>
    </row>
    <row r="212" spans="1:8">
      <c r="A212" s="13"/>
      <c r="B212" s="1" t="s">
        <v>389</v>
      </c>
      <c r="C212" s="1" t="s">
        <v>24</v>
      </c>
      <c r="D212" s="1" t="s">
        <v>443</v>
      </c>
      <c r="E212" s="1" t="s">
        <v>444</v>
      </c>
      <c r="F212" s="2">
        <v>360</v>
      </c>
      <c r="G212" s="3">
        <v>17.5</v>
      </c>
      <c r="H212" s="4" t="str">
        <f>IF(AND(A212="Yes",C212="School"),COUNTIFS($A$6:A212,"Yes",$C$6:C212,"School"),"")</f>
        <v/>
      </c>
    </row>
    <row r="213" spans="1:8">
      <c r="A213" s="13"/>
      <c r="B213" s="1" t="s">
        <v>389</v>
      </c>
      <c r="C213" s="1" t="s">
        <v>24</v>
      </c>
      <c r="D213" s="1" t="s">
        <v>445</v>
      </c>
      <c r="E213" s="1" t="s">
        <v>446</v>
      </c>
      <c r="F213" s="2">
        <v>584</v>
      </c>
      <c r="G213" s="3">
        <v>37.5</v>
      </c>
      <c r="H213" s="4" t="str">
        <f>IF(AND(A213="Yes",C213="School"),COUNTIFS($A$6:A213,"Yes",$C$6:C213,"School"),"")</f>
        <v/>
      </c>
    </row>
    <row r="214" spans="1:8">
      <c r="A214" s="13"/>
      <c r="B214" s="1" t="s">
        <v>389</v>
      </c>
      <c r="C214" s="1" t="s">
        <v>24</v>
      </c>
      <c r="D214" s="1" t="s">
        <v>447</v>
      </c>
      <c r="E214" s="1" t="s">
        <v>448</v>
      </c>
      <c r="F214" s="2">
        <v>824</v>
      </c>
      <c r="G214" s="3">
        <v>30.5</v>
      </c>
      <c r="H214" s="4" t="str">
        <f>IF(AND(A214="Yes",C214="School"),COUNTIFS($A$6:A214,"Yes",$C$6:C214,"School"),"")</f>
        <v/>
      </c>
    </row>
    <row r="215" spans="1:8">
      <c r="A215" s="13"/>
      <c r="B215" s="1" t="s">
        <v>389</v>
      </c>
      <c r="C215" s="1" t="s">
        <v>24</v>
      </c>
      <c r="D215" s="1" t="s">
        <v>449</v>
      </c>
      <c r="E215" s="1" t="s">
        <v>450</v>
      </c>
      <c r="F215" s="2">
        <v>490</v>
      </c>
      <c r="G215" s="3">
        <v>35.299999999999997</v>
      </c>
      <c r="H215" s="4" t="str">
        <f>IF(AND(A215="Yes",C215="School"),COUNTIFS($A$6:A215,"Yes",$C$6:C215,"School"),"")</f>
        <v/>
      </c>
    </row>
    <row r="216" spans="1:8">
      <c r="A216" s="13"/>
      <c r="B216" s="1" t="s">
        <v>389</v>
      </c>
      <c r="C216" s="1" t="s">
        <v>24</v>
      </c>
      <c r="D216" s="1" t="s">
        <v>451</v>
      </c>
      <c r="E216" s="1" t="s">
        <v>452</v>
      </c>
      <c r="F216" s="2">
        <v>471</v>
      </c>
      <c r="G216" s="3">
        <v>38.6</v>
      </c>
      <c r="H216" s="4" t="str">
        <f>IF(AND(A216="Yes",C216="School"),COUNTIFS($A$6:A216,"Yes",$C$6:C216,"School"),"")</f>
        <v/>
      </c>
    </row>
    <row r="217" spans="1:8">
      <c r="A217" s="13"/>
      <c r="B217" s="1" t="s">
        <v>389</v>
      </c>
      <c r="C217" s="1" t="s">
        <v>24</v>
      </c>
      <c r="D217" s="1" t="s">
        <v>453</v>
      </c>
      <c r="E217" s="1" t="s">
        <v>454</v>
      </c>
      <c r="F217" s="2">
        <v>479</v>
      </c>
      <c r="G217" s="3">
        <v>55.3</v>
      </c>
      <c r="H217" s="4" t="str">
        <f>IF(AND(A217="Yes",C217="School"),COUNTIFS($A$6:A217,"Yes",$C$6:C217,"School"),"")</f>
        <v/>
      </c>
    </row>
    <row r="218" spans="1:8">
      <c r="A218" s="13"/>
      <c r="B218" s="1" t="s">
        <v>389</v>
      </c>
      <c r="C218" s="1" t="s">
        <v>24</v>
      </c>
      <c r="D218" s="1" t="s">
        <v>455</v>
      </c>
      <c r="E218" s="1" t="s">
        <v>456</v>
      </c>
      <c r="F218" s="2">
        <v>587</v>
      </c>
      <c r="G218" s="3">
        <v>40.700000000000003</v>
      </c>
      <c r="H218" s="4" t="str">
        <f>IF(AND(A218="Yes",C218="School"),COUNTIFS($A$6:A218,"Yes",$C$6:C218,"School"),"")</f>
        <v/>
      </c>
    </row>
    <row r="219" spans="1:8">
      <c r="A219" s="13"/>
      <c r="B219" s="1" t="s">
        <v>389</v>
      </c>
      <c r="C219" s="1" t="s">
        <v>24</v>
      </c>
      <c r="D219" s="1" t="s">
        <v>457</v>
      </c>
      <c r="E219" s="1" t="s">
        <v>458</v>
      </c>
      <c r="F219" s="2">
        <v>470</v>
      </c>
      <c r="G219" s="3">
        <v>47.9</v>
      </c>
      <c r="H219" s="4" t="str">
        <f>IF(AND(A219="Yes",C219="School"),COUNTIFS($A$6:A219,"Yes",$C$6:C219,"School"),"")</f>
        <v/>
      </c>
    </row>
    <row r="220" spans="1:8">
      <c r="A220" s="13"/>
      <c r="B220" s="1" t="s">
        <v>389</v>
      </c>
      <c r="C220" s="1" t="s">
        <v>24</v>
      </c>
      <c r="D220" s="1" t="s">
        <v>459</v>
      </c>
      <c r="E220" s="1" t="s">
        <v>460</v>
      </c>
      <c r="F220" s="2">
        <v>162</v>
      </c>
      <c r="G220" s="3">
        <v>55.6</v>
      </c>
      <c r="H220" s="4" t="str">
        <f>IF(AND(A220="Yes",C220="School"),COUNTIFS($A$6:A220,"Yes",$C$6:C220,"School"),"")</f>
        <v/>
      </c>
    </row>
    <row r="221" spans="1:8">
      <c r="A221" s="13"/>
      <c r="B221" s="1" t="s">
        <v>389</v>
      </c>
      <c r="C221" s="1" t="s">
        <v>24</v>
      </c>
      <c r="D221" s="1" t="s">
        <v>461</v>
      </c>
      <c r="E221" s="1" t="s">
        <v>462</v>
      </c>
      <c r="F221" s="2">
        <v>1110</v>
      </c>
      <c r="G221" s="3">
        <v>33.799999999999997</v>
      </c>
      <c r="H221" s="4" t="str">
        <f>IF(AND(A221="Yes",C221="School"),COUNTIFS($A$6:A221,"Yes",$C$6:C221,"School"),"")</f>
        <v/>
      </c>
    </row>
    <row r="222" spans="1:8">
      <c r="A222" s="13"/>
      <c r="B222" s="1" t="s">
        <v>389</v>
      </c>
      <c r="C222" s="1" t="s">
        <v>24</v>
      </c>
      <c r="D222" s="1" t="s">
        <v>463</v>
      </c>
      <c r="E222" s="1" t="s">
        <v>464</v>
      </c>
      <c r="F222" s="2">
        <v>482</v>
      </c>
      <c r="G222" s="3">
        <v>47.5</v>
      </c>
      <c r="H222" s="4" t="str">
        <f>IF(AND(A222="Yes",C222="School"),COUNTIFS($A$6:A222,"Yes",$C$6:C222,"School"),"")</f>
        <v/>
      </c>
    </row>
    <row r="223" spans="1:8">
      <c r="A223" s="13"/>
      <c r="B223" s="1" t="s">
        <v>389</v>
      </c>
      <c r="C223" s="1" t="s">
        <v>24</v>
      </c>
      <c r="D223" s="1" t="s">
        <v>465</v>
      </c>
      <c r="E223" s="1" t="s">
        <v>466</v>
      </c>
      <c r="F223" s="2">
        <v>1412</v>
      </c>
      <c r="G223" s="3">
        <v>31.9</v>
      </c>
      <c r="H223" s="4" t="str">
        <f>IF(AND(A223="Yes",C223="School"),COUNTIFS($A$6:A223,"Yes",$C$6:C223,"School"),"")</f>
        <v/>
      </c>
    </row>
    <row r="224" spans="1:8">
      <c r="A224" s="13"/>
      <c r="B224" s="1" t="s">
        <v>389</v>
      </c>
      <c r="C224" s="1" t="s">
        <v>24</v>
      </c>
      <c r="D224" s="1" t="s">
        <v>467</v>
      </c>
      <c r="E224" s="1" t="s">
        <v>468</v>
      </c>
      <c r="F224" s="2">
        <v>550</v>
      </c>
      <c r="G224" s="3">
        <v>61.1</v>
      </c>
      <c r="H224" s="4" t="str">
        <f>IF(AND(A224="Yes",C224="School"),COUNTIFS($A$6:A224,"Yes",$C$6:C224,"School"),"")</f>
        <v/>
      </c>
    </row>
    <row r="225" spans="1:8">
      <c r="A225" s="13"/>
      <c r="B225" s="1" t="s">
        <v>389</v>
      </c>
      <c r="C225" s="1" t="s">
        <v>24</v>
      </c>
      <c r="D225" s="1" t="s">
        <v>469</v>
      </c>
      <c r="E225" s="1" t="s">
        <v>470</v>
      </c>
      <c r="F225" s="2">
        <v>664</v>
      </c>
      <c r="G225" s="3">
        <v>33.4</v>
      </c>
      <c r="H225" s="4" t="str">
        <f>IF(AND(A225="Yes",C225="School"),COUNTIFS($A$6:A225,"Yes",$C$6:C225,"School"),"")</f>
        <v/>
      </c>
    </row>
    <row r="226" spans="1:8">
      <c r="A226" s="13"/>
      <c r="B226" s="1" t="s">
        <v>389</v>
      </c>
      <c r="C226" s="1" t="s">
        <v>24</v>
      </c>
      <c r="D226" s="1" t="s">
        <v>471</v>
      </c>
      <c r="E226" s="1" t="s">
        <v>472</v>
      </c>
      <c r="F226" s="2">
        <v>338</v>
      </c>
      <c r="G226" s="3">
        <v>29.3</v>
      </c>
      <c r="H226" s="4" t="str">
        <f>IF(AND(A226="Yes",C226="School"),COUNTIFS($A$6:A226,"Yes",$C$6:C226,"School"),"")</f>
        <v/>
      </c>
    </row>
    <row r="227" spans="1:8">
      <c r="A227" s="13"/>
      <c r="B227" s="1" t="s">
        <v>389</v>
      </c>
      <c r="C227" s="1" t="s">
        <v>24</v>
      </c>
      <c r="D227" s="1" t="s">
        <v>473</v>
      </c>
      <c r="E227" s="1" t="s">
        <v>474</v>
      </c>
      <c r="F227" s="2">
        <v>218</v>
      </c>
      <c r="G227" s="3">
        <v>42.2</v>
      </c>
      <c r="H227" s="4" t="str">
        <f>IF(AND(A227="Yes",C227="School"),COUNTIFS($A$6:A227,"Yes",$C$6:C227,"School"),"")</f>
        <v/>
      </c>
    </row>
    <row r="228" spans="1:8">
      <c r="A228" s="13"/>
      <c r="B228" s="1" t="s">
        <v>389</v>
      </c>
      <c r="C228" s="1" t="s">
        <v>24</v>
      </c>
      <c r="D228" s="1" t="s">
        <v>475</v>
      </c>
      <c r="E228" s="1" t="s">
        <v>476</v>
      </c>
      <c r="F228" s="2">
        <v>566</v>
      </c>
      <c r="G228" s="3">
        <v>50.7</v>
      </c>
      <c r="H228" s="4" t="str">
        <f>IF(AND(A228="Yes",C228="School"),COUNTIFS($A$6:A228,"Yes",$C$6:C228,"School"),"")</f>
        <v/>
      </c>
    </row>
    <row r="229" spans="1:8">
      <c r="A229" s="13"/>
      <c r="B229" s="1" t="s">
        <v>389</v>
      </c>
      <c r="C229" s="1" t="s">
        <v>24</v>
      </c>
      <c r="D229" s="1" t="s">
        <v>477</v>
      </c>
      <c r="E229" s="1" t="s">
        <v>478</v>
      </c>
      <c r="F229" s="2">
        <v>451</v>
      </c>
      <c r="G229" s="3">
        <v>51.4</v>
      </c>
      <c r="H229" s="4" t="str">
        <f>IF(AND(A229="Yes",C229="School"),COUNTIFS($A$6:A229,"Yes",$C$6:C229,"School"),"")</f>
        <v/>
      </c>
    </row>
    <row r="230" spans="1:8">
      <c r="A230" s="13"/>
      <c r="B230" s="1" t="s">
        <v>389</v>
      </c>
      <c r="C230" s="1" t="s">
        <v>24</v>
      </c>
      <c r="D230" s="1" t="s">
        <v>479</v>
      </c>
      <c r="E230" s="1" t="s">
        <v>480</v>
      </c>
      <c r="F230" s="2">
        <v>97</v>
      </c>
      <c r="G230" s="3">
        <v>47.4</v>
      </c>
      <c r="H230" s="4" t="str">
        <f>IF(AND(A230="Yes",C230="School"),COUNTIFS($A$6:A230,"Yes",$C$6:C230,"School"),"")</f>
        <v/>
      </c>
    </row>
    <row r="231" spans="1:8">
      <c r="A231" s="13"/>
      <c r="B231" s="1" t="s">
        <v>481</v>
      </c>
      <c r="C231" s="1" t="s">
        <v>40</v>
      </c>
      <c r="D231" s="1" t="s">
        <v>41</v>
      </c>
      <c r="E231" s="1" t="s">
        <v>482</v>
      </c>
      <c r="F231" s="2">
        <v>11276</v>
      </c>
      <c r="G231" s="3">
        <v>54.5</v>
      </c>
      <c r="H231" s="4" t="str">
        <f>IF(AND(A231="Yes",C231="School"),COUNTIFS($A$6:A231,"Yes",$C$6:C231,"School"),"")</f>
        <v/>
      </c>
    </row>
    <row r="232" spans="1:8">
      <c r="A232" s="13"/>
      <c r="B232" s="1" t="s">
        <v>481</v>
      </c>
      <c r="C232" s="1" t="s">
        <v>24</v>
      </c>
      <c r="D232" s="1" t="s">
        <v>483</v>
      </c>
      <c r="E232" s="1" t="s">
        <v>484</v>
      </c>
      <c r="F232" s="2">
        <v>125</v>
      </c>
      <c r="G232" s="3">
        <v>26.4</v>
      </c>
      <c r="H232" s="4" t="str">
        <f>IF(AND(A232="Yes",C232="School"),COUNTIFS($A$6:A232,"Yes",$C$6:C232,"School"),"")</f>
        <v/>
      </c>
    </row>
    <row r="233" spans="1:8">
      <c r="A233" s="13"/>
      <c r="B233" s="1" t="s">
        <v>481</v>
      </c>
      <c r="C233" s="1" t="s">
        <v>24</v>
      </c>
      <c r="D233" s="1" t="s">
        <v>485</v>
      </c>
      <c r="E233" s="1" t="s">
        <v>486</v>
      </c>
      <c r="F233" s="2">
        <v>574</v>
      </c>
      <c r="G233" s="3">
        <v>40.6</v>
      </c>
      <c r="H233" s="4" t="str">
        <f>IF(AND(A233="Yes",C233="School"),COUNTIFS($A$6:A233,"Yes",$C$6:C233,"School"),"")</f>
        <v/>
      </c>
    </row>
    <row r="234" spans="1:8">
      <c r="A234" s="13"/>
      <c r="B234" s="1" t="s">
        <v>481</v>
      </c>
      <c r="C234" s="1" t="s">
        <v>24</v>
      </c>
      <c r="D234" s="1" t="s">
        <v>487</v>
      </c>
      <c r="E234" s="1" t="s">
        <v>488</v>
      </c>
      <c r="F234" s="2">
        <v>459</v>
      </c>
      <c r="G234" s="3">
        <v>56.9</v>
      </c>
      <c r="H234" s="4" t="str">
        <f>IF(AND(A234="Yes",C234="School"),COUNTIFS($A$6:A234,"Yes",$C$6:C234,"School"),"")</f>
        <v/>
      </c>
    </row>
    <row r="235" spans="1:8">
      <c r="A235" s="13"/>
      <c r="B235" s="1" t="s">
        <v>481</v>
      </c>
      <c r="C235" s="1" t="s">
        <v>24</v>
      </c>
      <c r="D235" s="1" t="s">
        <v>489</v>
      </c>
      <c r="E235" s="1" t="s">
        <v>490</v>
      </c>
      <c r="F235" s="2">
        <v>813</v>
      </c>
      <c r="G235" s="3">
        <v>50.8</v>
      </c>
      <c r="H235" s="4" t="str">
        <f>IF(AND(A235="Yes",C235="School"),COUNTIFS($A$6:A235,"Yes",$C$6:C235,"School"),"")</f>
        <v/>
      </c>
    </row>
    <row r="236" spans="1:8">
      <c r="A236" s="13"/>
      <c r="B236" s="1" t="s">
        <v>481</v>
      </c>
      <c r="C236" s="1" t="s">
        <v>24</v>
      </c>
      <c r="D236" s="1" t="s">
        <v>491</v>
      </c>
      <c r="E236" s="1" t="s">
        <v>492</v>
      </c>
      <c r="F236" s="2">
        <v>586</v>
      </c>
      <c r="G236" s="3">
        <v>54.9</v>
      </c>
      <c r="H236" s="4" t="str">
        <f>IF(AND(A236="Yes",C236="School"),COUNTIFS($A$6:A236,"Yes",$C$6:C236,"School"),"")</f>
        <v/>
      </c>
    </row>
    <row r="237" spans="1:8">
      <c r="A237" s="13"/>
      <c r="B237" s="1" t="s">
        <v>481</v>
      </c>
      <c r="C237" s="1" t="s">
        <v>24</v>
      </c>
      <c r="D237" s="1" t="s">
        <v>493</v>
      </c>
      <c r="E237" s="1" t="s">
        <v>494</v>
      </c>
      <c r="F237" s="2">
        <v>309</v>
      </c>
      <c r="G237" s="3">
        <v>66.3</v>
      </c>
      <c r="H237" s="4" t="str">
        <f>IF(AND(A237="Yes",C237="School"),COUNTIFS($A$6:A237,"Yes",$C$6:C237,"School"),"")</f>
        <v/>
      </c>
    </row>
    <row r="238" spans="1:8">
      <c r="A238" s="13"/>
      <c r="B238" s="1" t="s">
        <v>481</v>
      </c>
      <c r="C238" s="1" t="s">
        <v>24</v>
      </c>
      <c r="D238" s="1" t="s">
        <v>495</v>
      </c>
      <c r="E238" s="1" t="s">
        <v>496</v>
      </c>
      <c r="F238" s="2">
        <v>1148</v>
      </c>
      <c r="G238" s="3">
        <v>52.3</v>
      </c>
      <c r="H238" s="4" t="str">
        <f>IF(AND(A238="Yes",C238="School"),COUNTIFS($A$6:A238,"Yes",$C$6:C238,"School"),"")</f>
        <v/>
      </c>
    </row>
    <row r="239" spans="1:8">
      <c r="A239" s="13"/>
      <c r="B239" s="1" t="s">
        <v>481</v>
      </c>
      <c r="C239" s="1" t="s">
        <v>24</v>
      </c>
      <c r="D239" s="1" t="s">
        <v>497</v>
      </c>
      <c r="E239" s="1" t="s">
        <v>498</v>
      </c>
      <c r="F239" s="2">
        <v>305</v>
      </c>
      <c r="G239" s="3">
        <v>66.599999999999994</v>
      </c>
      <c r="H239" s="4" t="str">
        <f>IF(AND(A239="Yes",C239="School"),COUNTIFS($A$6:A239,"Yes",$C$6:C239,"School"),"")</f>
        <v/>
      </c>
    </row>
    <row r="240" spans="1:8">
      <c r="A240" s="13"/>
      <c r="B240" s="1" t="s">
        <v>481</v>
      </c>
      <c r="C240" s="1" t="s">
        <v>24</v>
      </c>
      <c r="D240" s="1" t="s">
        <v>499</v>
      </c>
      <c r="E240" s="1" t="s">
        <v>500</v>
      </c>
      <c r="F240" s="2">
        <v>321</v>
      </c>
      <c r="G240" s="3">
        <v>63.9</v>
      </c>
      <c r="H240" s="4" t="str">
        <f>IF(AND(A240="Yes",C240="School"),COUNTIFS($A$6:A240,"Yes",$C$6:C240,"School"),"")</f>
        <v/>
      </c>
    </row>
    <row r="241" spans="1:8">
      <c r="A241" s="13"/>
      <c r="B241" s="1" t="s">
        <v>481</v>
      </c>
      <c r="C241" s="1" t="s">
        <v>24</v>
      </c>
      <c r="D241" s="1" t="s">
        <v>501</v>
      </c>
      <c r="E241" s="1" t="s">
        <v>502</v>
      </c>
      <c r="F241" s="2">
        <v>64</v>
      </c>
      <c r="G241" s="3">
        <v>75</v>
      </c>
      <c r="H241" s="4" t="str">
        <f>IF(AND(A241="Yes",C241="School"),COUNTIFS($A$6:A241,"Yes",$C$6:C241,"School"),"")</f>
        <v/>
      </c>
    </row>
    <row r="242" spans="1:8">
      <c r="A242" s="13"/>
      <c r="B242" s="1" t="s">
        <v>481</v>
      </c>
      <c r="C242" s="1" t="s">
        <v>24</v>
      </c>
      <c r="D242" s="1" t="s">
        <v>503</v>
      </c>
      <c r="E242" s="1" t="s">
        <v>504</v>
      </c>
      <c r="F242" s="2">
        <v>491</v>
      </c>
      <c r="G242" s="3">
        <v>50.9</v>
      </c>
      <c r="H242" s="4" t="str">
        <f>IF(AND(A242="Yes",C242="School"),COUNTIFS($A$6:A242,"Yes",$C$6:C242,"School"),"")</f>
        <v/>
      </c>
    </row>
    <row r="243" spans="1:8">
      <c r="A243" s="13"/>
      <c r="B243" s="1" t="s">
        <v>481</v>
      </c>
      <c r="C243" s="1" t="s">
        <v>24</v>
      </c>
      <c r="D243" s="1" t="s">
        <v>505</v>
      </c>
      <c r="E243" s="1" t="s">
        <v>506</v>
      </c>
      <c r="F243" s="2">
        <v>287</v>
      </c>
      <c r="G243" s="3">
        <v>59.6</v>
      </c>
      <c r="H243" s="4" t="str">
        <f>IF(AND(A243="Yes",C243="School"),COUNTIFS($A$6:A243,"Yes",$C$6:C243,"School"),"")</f>
        <v/>
      </c>
    </row>
    <row r="244" spans="1:8">
      <c r="A244" s="13"/>
      <c r="B244" s="1" t="s">
        <v>481</v>
      </c>
      <c r="C244" s="1" t="s">
        <v>24</v>
      </c>
      <c r="D244" s="1" t="s">
        <v>81</v>
      </c>
      <c r="E244" s="1" t="s">
        <v>507</v>
      </c>
      <c r="F244" s="2">
        <v>255</v>
      </c>
      <c r="G244" s="3">
        <v>69.8</v>
      </c>
      <c r="H244" s="4" t="str">
        <f>IF(AND(A244="Yes",C244="School"),COUNTIFS($A$6:A244,"Yes",$C$6:C244,"School"),"")</f>
        <v/>
      </c>
    </row>
    <row r="245" spans="1:8">
      <c r="A245" s="13"/>
      <c r="B245" s="1" t="s">
        <v>481</v>
      </c>
      <c r="C245" s="1" t="s">
        <v>24</v>
      </c>
      <c r="D245" s="1" t="s">
        <v>508</v>
      </c>
      <c r="E245" s="1" t="s">
        <v>509</v>
      </c>
      <c r="F245" s="2">
        <v>253</v>
      </c>
      <c r="G245" s="3">
        <v>63.6</v>
      </c>
      <c r="H245" s="4" t="str">
        <f>IF(AND(A245="Yes",C245="School"),COUNTIFS($A$6:A245,"Yes",$C$6:C245,"School"),"")</f>
        <v/>
      </c>
    </row>
    <row r="246" spans="1:8">
      <c r="A246" s="13"/>
      <c r="B246" s="1" t="s">
        <v>481</v>
      </c>
      <c r="C246" s="1" t="s">
        <v>24</v>
      </c>
      <c r="D246" s="1" t="s">
        <v>510</v>
      </c>
      <c r="E246" s="1" t="s">
        <v>511</v>
      </c>
      <c r="F246" s="2">
        <v>490</v>
      </c>
      <c r="G246" s="3">
        <v>45.9</v>
      </c>
      <c r="H246" s="4" t="str">
        <f>IF(AND(A246="Yes",C246="School"),COUNTIFS($A$6:A246,"Yes",$C$6:C246,"School"),"")</f>
        <v/>
      </c>
    </row>
    <row r="247" spans="1:8">
      <c r="A247" s="13"/>
      <c r="B247" s="1" t="s">
        <v>481</v>
      </c>
      <c r="C247" s="1" t="s">
        <v>24</v>
      </c>
      <c r="D247" s="1" t="s">
        <v>205</v>
      </c>
      <c r="E247" s="1" t="s">
        <v>512</v>
      </c>
      <c r="F247" s="2">
        <v>745</v>
      </c>
      <c r="G247" s="3">
        <v>59.1</v>
      </c>
      <c r="H247" s="4" t="str">
        <f>IF(AND(A247="Yes",C247="School"),COUNTIFS($A$6:A247,"Yes",$C$6:C247,"School"),"")</f>
        <v/>
      </c>
    </row>
    <row r="248" spans="1:8">
      <c r="A248" s="13"/>
      <c r="B248" s="1" t="s">
        <v>481</v>
      </c>
      <c r="C248" s="1" t="s">
        <v>24</v>
      </c>
      <c r="D248" s="1" t="s">
        <v>513</v>
      </c>
      <c r="E248" s="1" t="s">
        <v>514</v>
      </c>
      <c r="F248" s="2">
        <v>308</v>
      </c>
      <c r="G248" s="3">
        <v>55.2</v>
      </c>
      <c r="H248" s="4" t="str">
        <f>IF(AND(A248="Yes",C248="School"),COUNTIFS($A$6:A248,"Yes",$C$6:C248,"School"),"")</f>
        <v/>
      </c>
    </row>
    <row r="249" spans="1:8">
      <c r="A249" s="13"/>
      <c r="B249" s="1" t="s">
        <v>481</v>
      </c>
      <c r="C249" s="1" t="s">
        <v>24</v>
      </c>
      <c r="D249" s="1" t="s">
        <v>515</v>
      </c>
      <c r="E249" s="1" t="s">
        <v>516</v>
      </c>
      <c r="F249" s="2">
        <v>76</v>
      </c>
      <c r="G249" s="3">
        <v>77.599999999999994</v>
      </c>
      <c r="H249" s="4" t="str">
        <f>IF(AND(A249="Yes",C249="School"),COUNTIFS($A$6:A249,"Yes",$C$6:C249,"School"),"")</f>
        <v/>
      </c>
    </row>
    <row r="250" spans="1:8">
      <c r="A250" s="13"/>
      <c r="B250" s="1" t="s">
        <v>481</v>
      </c>
      <c r="C250" s="1" t="s">
        <v>24</v>
      </c>
      <c r="D250" s="1" t="s">
        <v>517</v>
      </c>
      <c r="E250" s="1" t="s">
        <v>518</v>
      </c>
      <c r="F250" s="2">
        <v>303</v>
      </c>
      <c r="G250" s="3">
        <v>62.7</v>
      </c>
      <c r="H250" s="4" t="str">
        <f>IF(AND(A250="Yes",C250="School"),COUNTIFS($A$6:A250,"Yes",$C$6:C250,"School"),"")</f>
        <v/>
      </c>
    </row>
    <row r="251" spans="1:8">
      <c r="A251" s="13"/>
      <c r="B251" s="1" t="s">
        <v>481</v>
      </c>
      <c r="C251" s="1" t="s">
        <v>24</v>
      </c>
      <c r="D251" s="1" t="s">
        <v>519</v>
      </c>
      <c r="E251" s="1" t="s">
        <v>520</v>
      </c>
      <c r="F251" s="2">
        <v>741</v>
      </c>
      <c r="G251" s="3">
        <v>39.1</v>
      </c>
      <c r="H251" s="4" t="str">
        <f>IF(AND(A251="Yes",C251="School"),COUNTIFS($A$6:A251,"Yes",$C$6:C251,"School"),"")</f>
        <v/>
      </c>
    </row>
    <row r="252" spans="1:8">
      <c r="A252" s="13"/>
      <c r="B252" s="1" t="s">
        <v>481</v>
      </c>
      <c r="C252" s="1" t="s">
        <v>24</v>
      </c>
      <c r="D252" s="1" t="s">
        <v>521</v>
      </c>
      <c r="E252" s="1" t="s">
        <v>522</v>
      </c>
      <c r="F252" s="2">
        <v>465</v>
      </c>
      <c r="G252" s="3">
        <v>59.1</v>
      </c>
      <c r="H252" s="4" t="str">
        <f>IF(AND(A252="Yes",C252="School"),COUNTIFS($A$6:A252,"Yes",$C$6:C252,"School"),"")</f>
        <v/>
      </c>
    </row>
    <row r="253" spans="1:8">
      <c r="A253" s="13"/>
      <c r="B253" s="1" t="s">
        <v>481</v>
      </c>
      <c r="C253" s="1" t="s">
        <v>24</v>
      </c>
      <c r="D253" s="1" t="s">
        <v>523</v>
      </c>
      <c r="E253" s="1" t="s">
        <v>524</v>
      </c>
      <c r="F253" s="2">
        <v>478</v>
      </c>
      <c r="G253" s="3">
        <v>52.9</v>
      </c>
      <c r="H253" s="4" t="str">
        <f>IF(AND(A253="Yes",C253="School"),COUNTIFS($A$6:A253,"Yes",$C$6:C253,"School"),"")</f>
        <v/>
      </c>
    </row>
    <row r="254" spans="1:8">
      <c r="A254" s="13"/>
      <c r="B254" s="1" t="s">
        <v>481</v>
      </c>
      <c r="C254" s="1" t="s">
        <v>24</v>
      </c>
      <c r="D254" s="1" t="s">
        <v>525</v>
      </c>
      <c r="E254" s="1" t="s">
        <v>526</v>
      </c>
      <c r="F254" s="2">
        <v>442</v>
      </c>
      <c r="G254" s="3">
        <v>55</v>
      </c>
      <c r="H254" s="4" t="str">
        <f>IF(AND(A254="Yes",C254="School"),COUNTIFS($A$6:A254,"Yes",$C$6:C254,"School"),"")</f>
        <v/>
      </c>
    </row>
    <row r="255" spans="1:8">
      <c r="A255" s="13"/>
      <c r="B255" s="1" t="s">
        <v>481</v>
      </c>
      <c r="C255" s="1" t="s">
        <v>24</v>
      </c>
      <c r="D255" s="1" t="s">
        <v>527</v>
      </c>
      <c r="E255" s="1" t="s">
        <v>528</v>
      </c>
      <c r="F255" s="2">
        <v>507</v>
      </c>
      <c r="G255" s="3">
        <v>54</v>
      </c>
      <c r="H255" s="4" t="str">
        <f>IF(AND(A255="Yes",C255="School"),COUNTIFS($A$6:A255,"Yes",$C$6:C255,"School"),"")</f>
        <v/>
      </c>
    </row>
    <row r="256" spans="1:8">
      <c r="A256" s="13"/>
      <c r="B256" s="1" t="s">
        <v>481</v>
      </c>
      <c r="C256" s="1" t="s">
        <v>24</v>
      </c>
      <c r="D256" s="1" t="s">
        <v>529</v>
      </c>
      <c r="E256" s="1" t="s">
        <v>530</v>
      </c>
      <c r="F256" s="2">
        <v>299</v>
      </c>
      <c r="G256" s="3">
        <v>58.2</v>
      </c>
      <c r="H256" s="4" t="str">
        <f>IF(AND(A256="Yes",C256="School"),COUNTIFS($A$6:A256,"Yes",$C$6:C256,"School"),"")</f>
        <v/>
      </c>
    </row>
    <row r="257" spans="1:8">
      <c r="A257" s="13"/>
      <c r="B257" s="1" t="s">
        <v>481</v>
      </c>
      <c r="C257" s="1" t="s">
        <v>24</v>
      </c>
      <c r="D257" s="1" t="s">
        <v>531</v>
      </c>
      <c r="E257" s="1" t="s">
        <v>532</v>
      </c>
      <c r="F257" s="2">
        <v>432</v>
      </c>
      <c r="G257" s="3">
        <v>61.1</v>
      </c>
      <c r="H257" s="4" t="str">
        <f>IF(AND(A257="Yes",C257="School"),COUNTIFS($A$6:A257,"Yes",$C$6:C257,"School"),"")</f>
        <v/>
      </c>
    </row>
    <row r="258" spans="1:8">
      <c r="A258" s="13"/>
      <c r="B258" s="1" t="s">
        <v>533</v>
      </c>
      <c r="C258" s="1" t="s">
        <v>40</v>
      </c>
      <c r="D258" s="1" t="s">
        <v>41</v>
      </c>
      <c r="E258" s="1" t="s">
        <v>534</v>
      </c>
      <c r="F258" s="2">
        <v>35254</v>
      </c>
      <c r="G258" s="3">
        <v>41.7</v>
      </c>
      <c r="H258" s="4" t="str">
        <f>IF(AND(A258="Yes",C258="School"),COUNTIFS($A$6:A258,"Yes",$C$6:C258,"School"),"")</f>
        <v/>
      </c>
    </row>
    <row r="259" spans="1:8">
      <c r="A259" s="13"/>
      <c r="B259" s="1" t="s">
        <v>533</v>
      </c>
      <c r="C259" s="1" t="s">
        <v>24</v>
      </c>
      <c r="D259" s="1" t="s">
        <v>535</v>
      </c>
      <c r="E259" s="1" t="s">
        <v>536</v>
      </c>
      <c r="F259" s="2">
        <v>634</v>
      </c>
      <c r="G259" s="3">
        <v>62.8</v>
      </c>
      <c r="H259" s="4" t="str">
        <f>IF(AND(A259="Yes",C259="School"),COUNTIFS($A$6:A259,"Yes",$C$6:C259,"School"),"")</f>
        <v/>
      </c>
    </row>
    <row r="260" spans="1:8">
      <c r="A260" s="13"/>
      <c r="B260" s="1" t="s">
        <v>533</v>
      </c>
      <c r="C260" s="1" t="s">
        <v>24</v>
      </c>
      <c r="D260" s="1" t="s">
        <v>537</v>
      </c>
      <c r="E260" s="1" t="s">
        <v>538</v>
      </c>
      <c r="F260" s="2">
        <v>622</v>
      </c>
      <c r="G260" s="3">
        <v>48.6</v>
      </c>
      <c r="H260" s="4" t="str">
        <f>IF(AND(A260="Yes",C260="School"),COUNTIFS($A$6:A260,"Yes",$C$6:C260,"School"),"")</f>
        <v/>
      </c>
    </row>
    <row r="261" spans="1:8">
      <c r="A261" s="13"/>
      <c r="B261" s="1" t="s">
        <v>533</v>
      </c>
      <c r="C261" s="1" t="s">
        <v>24</v>
      </c>
      <c r="D261" s="1" t="s">
        <v>539</v>
      </c>
      <c r="E261" s="1" t="s">
        <v>540</v>
      </c>
      <c r="F261" s="2">
        <v>786</v>
      </c>
      <c r="G261" s="3">
        <v>54.8</v>
      </c>
      <c r="H261" s="4" t="str">
        <f>IF(AND(A261="Yes",C261="School"),COUNTIFS($A$6:A261,"Yes",$C$6:C261,"School"),"")</f>
        <v/>
      </c>
    </row>
    <row r="262" spans="1:8">
      <c r="A262" s="13"/>
      <c r="B262" s="1" t="s">
        <v>533</v>
      </c>
      <c r="C262" s="1" t="s">
        <v>24</v>
      </c>
      <c r="D262" s="1" t="s">
        <v>541</v>
      </c>
      <c r="E262" s="1" t="s">
        <v>542</v>
      </c>
      <c r="F262" s="2">
        <v>52</v>
      </c>
      <c r="G262" s="3">
        <v>67.3</v>
      </c>
      <c r="H262" s="4" t="str">
        <f>IF(AND(A262="Yes",C262="School"),COUNTIFS($A$6:A262,"Yes",$C$6:C262,"School"),"")</f>
        <v/>
      </c>
    </row>
    <row r="263" spans="1:8">
      <c r="A263" s="13"/>
      <c r="B263" s="1" t="s">
        <v>533</v>
      </c>
      <c r="C263" s="1" t="s">
        <v>24</v>
      </c>
      <c r="D263" s="1" t="s">
        <v>543</v>
      </c>
      <c r="E263" s="1" t="s">
        <v>544</v>
      </c>
      <c r="F263" s="2">
        <v>131</v>
      </c>
      <c r="G263" s="3">
        <v>33.6</v>
      </c>
      <c r="H263" s="4" t="str">
        <f>IF(AND(A263="Yes",C263="School"),COUNTIFS($A$6:A263,"Yes",$C$6:C263,"School"),"")</f>
        <v/>
      </c>
    </row>
    <row r="264" spans="1:8">
      <c r="A264" s="13"/>
      <c r="B264" s="1" t="s">
        <v>533</v>
      </c>
      <c r="C264" s="1" t="s">
        <v>24</v>
      </c>
      <c r="D264" s="1" t="s">
        <v>545</v>
      </c>
      <c r="E264" s="1" t="s">
        <v>546</v>
      </c>
      <c r="F264" s="2">
        <v>219</v>
      </c>
      <c r="G264" s="3">
        <v>27.4</v>
      </c>
      <c r="H264" s="4" t="str">
        <f>IF(AND(A264="Yes",C264="School"),COUNTIFS($A$6:A264,"Yes",$C$6:C264,"School"),"")</f>
        <v/>
      </c>
    </row>
    <row r="265" spans="1:8">
      <c r="A265" s="13"/>
      <c r="B265" s="1" t="s">
        <v>533</v>
      </c>
      <c r="C265" s="1" t="s">
        <v>24</v>
      </c>
      <c r="D265" s="1" t="s">
        <v>547</v>
      </c>
      <c r="E265" s="1" t="s">
        <v>548</v>
      </c>
      <c r="F265" s="2">
        <v>192</v>
      </c>
      <c r="G265" s="3">
        <v>30.7</v>
      </c>
      <c r="H265" s="4" t="str">
        <f>IF(AND(A265="Yes",C265="School"),COUNTIFS($A$6:A265,"Yes",$C$6:C265,"School"),"")</f>
        <v/>
      </c>
    </row>
    <row r="266" spans="1:8">
      <c r="A266" s="13"/>
      <c r="B266" s="1" t="s">
        <v>533</v>
      </c>
      <c r="C266" s="1" t="s">
        <v>24</v>
      </c>
      <c r="D266" s="1" t="s">
        <v>549</v>
      </c>
      <c r="E266" s="1" t="s">
        <v>550</v>
      </c>
      <c r="F266" s="2">
        <v>227</v>
      </c>
      <c r="G266" s="3">
        <v>38.799999999999997</v>
      </c>
      <c r="H266" s="4" t="str">
        <f>IF(AND(A266="Yes",C266="School"),COUNTIFS($A$6:A266,"Yes",$C$6:C266,"School"),"")</f>
        <v/>
      </c>
    </row>
    <row r="267" spans="1:8">
      <c r="A267" s="13"/>
      <c r="B267" s="1" t="s">
        <v>533</v>
      </c>
      <c r="C267" s="1" t="s">
        <v>24</v>
      </c>
      <c r="D267" s="1" t="s">
        <v>551</v>
      </c>
      <c r="E267" s="1" t="s">
        <v>552</v>
      </c>
      <c r="F267" s="2">
        <v>737</v>
      </c>
      <c r="G267" s="3">
        <v>65.8</v>
      </c>
      <c r="H267" s="4" t="str">
        <f>IF(AND(A267="Yes",C267="School"),COUNTIFS($A$6:A267,"Yes",$C$6:C267,"School"),"")</f>
        <v/>
      </c>
    </row>
    <row r="268" spans="1:8">
      <c r="A268" s="13"/>
      <c r="B268" s="1" t="s">
        <v>533</v>
      </c>
      <c r="C268" s="1" t="s">
        <v>24</v>
      </c>
      <c r="D268" s="1" t="s">
        <v>553</v>
      </c>
      <c r="E268" s="1" t="s">
        <v>554</v>
      </c>
      <c r="F268" s="2">
        <v>1274</v>
      </c>
      <c r="G268" s="3">
        <v>59.3</v>
      </c>
      <c r="H268" s="4" t="str">
        <f>IF(AND(A268="Yes",C268="School"),COUNTIFS($A$6:A268,"Yes",$C$6:C268,"School"),"")</f>
        <v/>
      </c>
    </row>
    <row r="269" spans="1:8">
      <c r="A269" s="13"/>
      <c r="B269" s="1" t="s">
        <v>533</v>
      </c>
      <c r="C269" s="1" t="s">
        <v>24</v>
      </c>
      <c r="D269" s="1" t="s">
        <v>555</v>
      </c>
      <c r="E269" s="1" t="s">
        <v>556</v>
      </c>
      <c r="F269" s="2">
        <v>998</v>
      </c>
      <c r="G269" s="3">
        <v>46.2</v>
      </c>
      <c r="H269" s="4" t="str">
        <f>IF(AND(A269="Yes",C269="School"),COUNTIFS($A$6:A269,"Yes",$C$6:C269,"School"),"")</f>
        <v/>
      </c>
    </row>
    <row r="270" spans="1:8">
      <c r="A270" s="13"/>
      <c r="B270" s="1" t="s">
        <v>533</v>
      </c>
      <c r="C270" s="1" t="s">
        <v>24</v>
      </c>
      <c r="D270" s="1" t="s">
        <v>557</v>
      </c>
      <c r="E270" s="1" t="s">
        <v>558</v>
      </c>
      <c r="F270" s="2">
        <v>353</v>
      </c>
      <c r="G270" s="3">
        <v>64.599999999999994</v>
      </c>
      <c r="H270" s="4" t="str">
        <f>IF(AND(A270="Yes",C270="School"),COUNTIFS($A$6:A270,"Yes",$C$6:C270,"School"),"")</f>
        <v/>
      </c>
    </row>
    <row r="271" spans="1:8">
      <c r="A271" s="13"/>
      <c r="B271" s="1" t="s">
        <v>533</v>
      </c>
      <c r="C271" s="1" t="s">
        <v>24</v>
      </c>
      <c r="D271" s="1" t="s">
        <v>559</v>
      </c>
      <c r="E271" s="1" t="s">
        <v>560</v>
      </c>
      <c r="F271" s="2">
        <v>1051</v>
      </c>
      <c r="G271" s="3">
        <v>64.900000000000006</v>
      </c>
      <c r="H271" s="4" t="str">
        <f>IF(AND(A271="Yes",C271="School"),COUNTIFS($A$6:A271,"Yes",$C$6:C271,"School"),"")</f>
        <v/>
      </c>
    </row>
    <row r="272" spans="1:8">
      <c r="A272" s="13"/>
      <c r="B272" s="1" t="s">
        <v>533</v>
      </c>
      <c r="C272" s="1" t="s">
        <v>24</v>
      </c>
      <c r="D272" s="1" t="s">
        <v>561</v>
      </c>
      <c r="E272" s="1" t="s">
        <v>562</v>
      </c>
      <c r="F272" s="2">
        <v>581</v>
      </c>
      <c r="G272" s="3">
        <v>64.5</v>
      </c>
      <c r="H272" s="4" t="str">
        <f>IF(AND(A272="Yes",C272="School"),COUNTIFS($A$6:A272,"Yes",$C$6:C272,"School"),"")</f>
        <v/>
      </c>
    </row>
    <row r="273" spans="1:8">
      <c r="A273" s="13"/>
      <c r="B273" s="1" t="s">
        <v>533</v>
      </c>
      <c r="C273" s="1" t="s">
        <v>24</v>
      </c>
      <c r="D273" s="1" t="s">
        <v>563</v>
      </c>
      <c r="E273" s="1" t="s">
        <v>564</v>
      </c>
      <c r="F273" s="2">
        <v>1143</v>
      </c>
      <c r="G273" s="3">
        <v>11.7</v>
      </c>
      <c r="H273" s="4" t="str">
        <f>IF(AND(A273="Yes",C273="School"),COUNTIFS($A$6:A273,"Yes",$C$6:C273,"School"),"")</f>
        <v/>
      </c>
    </row>
    <row r="274" spans="1:8">
      <c r="A274" s="13"/>
      <c r="B274" s="1" t="s">
        <v>533</v>
      </c>
      <c r="C274" s="1" t="s">
        <v>24</v>
      </c>
      <c r="D274" s="1" t="s">
        <v>565</v>
      </c>
      <c r="E274" s="1" t="s">
        <v>566</v>
      </c>
      <c r="F274" s="2">
        <v>1739</v>
      </c>
      <c r="G274" s="3">
        <v>14.7</v>
      </c>
      <c r="H274" s="4" t="str">
        <f>IF(AND(A274="Yes",C274="School"),COUNTIFS($A$6:A274,"Yes",$C$6:C274,"School"),"")</f>
        <v/>
      </c>
    </row>
    <row r="275" spans="1:8">
      <c r="A275" s="13"/>
      <c r="B275" s="1" t="s">
        <v>533</v>
      </c>
      <c r="C275" s="1" t="s">
        <v>24</v>
      </c>
      <c r="D275" s="1" t="s">
        <v>567</v>
      </c>
      <c r="E275" s="1" t="s">
        <v>568</v>
      </c>
      <c r="F275" s="2">
        <v>1068</v>
      </c>
      <c r="G275" s="3">
        <v>63</v>
      </c>
      <c r="H275" s="4" t="str">
        <f>IF(AND(A275="Yes",C275="School"),COUNTIFS($A$6:A275,"Yes",$C$6:C275,"School"),"")</f>
        <v/>
      </c>
    </row>
    <row r="276" spans="1:8">
      <c r="A276" s="13"/>
      <c r="B276" s="1" t="s">
        <v>533</v>
      </c>
      <c r="C276" s="1" t="s">
        <v>24</v>
      </c>
      <c r="D276" s="1" t="s">
        <v>569</v>
      </c>
      <c r="E276" s="1" t="s">
        <v>570</v>
      </c>
      <c r="F276" s="2">
        <v>1418</v>
      </c>
      <c r="G276" s="3">
        <v>14.1</v>
      </c>
      <c r="H276" s="4" t="str">
        <f>IF(AND(A276="Yes",C276="School"),COUNTIFS($A$6:A276,"Yes",$C$6:C276,"School"),"")</f>
        <v/>
      </c>
    </row>
    <row r="277" spans="1:8">
      <c r="A277" s="13"/>
      <c r="B277" s="1" t="s">
        <v>533</v>
      </c>
      <c r="C277" s="1" t="s">
        <v>24</v>
      </c>
      <c r="D277" s="1" t="s">
        <v>571</v>
      </c>
      <c r="E277" s="1" t="s">
        <v>572</v>
      </c>
      <c r="F277" s="2">
        <v>870</v>
      </c>
      <c r="G277" s="3">
        <v>23.4</v>
      </c>
      <c r="H277" s="4" t="str">
        <f>IF(AND(A277="Yes",C277="School"),COUNTIFS($A$6:A277,"Yes",$C$6:C277,"School"),"")</f>
        <v/>
      </c>
    </row>
    <row r="278" spans="1:8">
      <c r="A278" s="13"/>
      <c r="B278" s="1" t="s">
        <v>533</v>
      </c>
      <c r="C278" s="1" t="s">
        <v>24</v>
      </c>
      <c r="D278" s="1" t="s">
        <v>573</v>
      </c>
      <c r="E278" s="1" t="s">
        <v>574</v>
      </c>
      <c r="F278" s="2">
        <v>914</v>
      </c>
      <c r="G278" s="3">
        <v>17.399999999999999</v>
      </c>
      <c r="H278" s="4" t="str">
        <f>IF(AND(A278="Yes",C278="School"),COUNTIFS($A$6:A278,"Yes",$C$6:C278,"School"),"")</f>
        <v/>
      </c>
    </row>
    <row r="279" spans="1:8">
      <c r="A279" s="13"/>
      <c r="B279" s="1" t="s">
        <v>533</v>
      </c>
      <c r="C279" s="1" t="s">
        <v>24</v>
      </c>
      <c r="D279" s="1" t="s">
        <v>575</v>
      </c>
      <c r="E279" s="1" t="s">
        <v>576</v>
      </c>
      <c r="F279" s="2">
        <v>1612</v>
      </c>
      <c r="G279" s="3">
        <v>20.100000000000001</v>
      </c>
      <c r="H279" s="4" t="str">
        <f>IF(AND(A279="Yes",C279="School"),COUNTIFS($A$6:A279,"Yes",$C$6:C279,"School"),"")</f>
        <v/>
      </c>
    </row>
    <row r="280" spans="1:8">
      <c r="A280" s="13"/>
      <c r="B280" s="1" t="s">
        <v>533</v>
      </c>
      <c r="C280" s="1" t="s">
        <v>24</v>
      </c>
      <c r="D280" s="1" t="s">
        <v>577</v>
      </c>
      <c r="E280" s="1" t="s">
        <v>578</v>
      </c>
      <c r="F280" s="2">
        <v>1130</v>
      </c>
      <c r="G280" s="3">
        <v>18</v>
      </c>
      <c r="H280" s="4" t="str">
        <f>IF(AND(A280="Yes",C280="School"),COUNTIFS($A$6:A280,"Yes",$C$6:C280,"School"),"")</f>
        <v/>
      </c>
    </row>
    <row r="281" spans="1:8">
      <c r="A281" s="13"/>
      <c r="B281" s="1" t="s">
        <v>533</v>
      </c>
      <c r="C281" s="1" t="s">
        <v>24</v>
      </c>
      <c r="D281" s="1" t="s">
        <v>579</v>
      </c>
      <c r="E281" s="1" t="s">
        <v>580</v>
      </c>
      <c r="F281" s="2">
        <v>706</v>
      </c>
      <c r="G281" s="3">
        <v>56.4</v>
      </c>
      <c r="H281" s="4" t="str">
        <f>IF(AND(A281="Yes",C281="School"),COUNTIFS($A$6:A281,"Yes",$C$6:C281,"School"),"")</f>
        <v/>
      </c>
    </row>
    <row r="282" spans="1:8">
      <c r="A282" s="13"/>
      <c r="B282" s="1" t="s">
        <v>533</v>
      </c>
      <c r="C282" s="1" t="s">
        <v>24</v>
      </c>
      <c r="D282" s="1" t="s">
        <v>581</v>
      </c>
      <c r="E282" s="1" t="s">
        <v>582</v>
      </c>
      <c r="F282" s="2">
        <v>1124</v>
      </c>
      <c r="G282" s="3">
        <v>53.2</v>
      </c>
      <c r="H282" s="4" t="str">
        <f>IF(AND(A282="Yes",C282="School"),COUNTIFS($A$6:A282,"Yes",$C$6:C282,"School"),"")</f>
        <v/>
      </c>
    </row>
    <row r="283" spans="1:8">
      <c r="A283" s="13"/>
      <c r="B283" s="1" t="s">
        <v>533</v>
      </c>
      <c r="C283" s="1" t="s">
        <v>24</v>
      </c>
      <c r="D283" s="1" t="s">
        <v>583</v>
      </c>
      <c r="E283" s="1" t="s">
        <v>584</v>
      </c>
      <c r="F283" s="2">
        <v>656</v>
      </c>
      <c r="G283" s="3">
        <v>44.1</v>
      </c>
      <c r="H283" s="4" t="str">
        <f>IF(AND(A283="Yes",C283="School"),COUNTIFS($A$6:A283,"Yes",$C$6:C283,"School"),"")</f>
        <v/>
      </c>
    </row>
    <row r="284" spans="1:8">
      <c r="A284" s="13"/>
      <c r="B284" s="1" t="s">
        <v>533</v>
      </c>
      <c r="C284" s="1" t="s">
        <v>24</v>
      </c>
      <c r="D284" s="1" t="s">
        <v>585</v>
      </c>
      <c r="E284" s="1" t="s">
        <v>586</v>
      </c>
      <c r="F284" s="2">
        <v>818</v>
      </c>
      <c r="G284" s="3">
        <v>41.7</v>
      </c>
      <c r="H284" s="4" t="str">
        <f>IF(AND(A284="Yes",C284="School"),COUNTIFS($A$6:A284,"Yes",$C$6:C284,"School"),"")</f>
        <v/>
      </c>
    </row>
    <row r="285" spans="1:8">
      <c r="A285" s="13"/>
      <c r="B285" s="1" t="s">
        <v>533</v>
      </c>
      <c r="C285" s="1" t="s">
        <v>24</v>
      </c>
      <c r="D285" s="1" t="s">
        <v>587</v>
      </c>
      <c r="E285" s="1" t="s">
        <v>588</v>
      </c>
      <c r="F285" s="2">
        <v>641</v>
      </c>
      <c r="G285" s="3">
        <v>51.6</v>
      </c>
      <c r="H285" s="4" t="str">
        <f>IF(AND(A285="Yes",C285="School"),COUNTIFS($A$6:A285,"Yes",$C$6:C285,"School"),"")</f>
        <v/>
      </c>
    </row>
    <row r="286" spans="1:8">
      <c r="A286" s="13"/>
      <c r="B286" s="1" t="s">
        <v>533</v>
      </c>
      <c r="C286" s="1" t="s">
        <v>24</v>
      </c>
      <c r="D286" s="1" t="s">
        <v>589</v>
      </c>
      <c r="E286" s="1" t="s">
        <v>590</v>
      </c>
      <c r="F286" s="2">
        <v>1160</v>
      </c>
      <c r="G286" s="3">
        <v>36.799999999999997</v>
      </c>
      <c r="H286" s="4" t="str">
        <f>IF(AND(A286="Yes",C286="School"),COUNTIFS($A$6:A286,"Yes",$C$6:C286,"School"),"")</f>
        <v/>
      </c>
    </row>
    <row r="287" spans="1:8">
      <c r="A287" s="13"/>
      <c r="B287" s="1" t="s">
        <v>533</v>
      </c>
      <c r="C287" s="1" t="s">
        <v>24</v>
      </c>
      <c r="D287" s="1" t="s">
        <v>591</v>
      </c>
      <c r="E287" s="1" t="s">
        <v>592</v>
      </c>
      <c r="F287" s="2">
        <v>942</v>
      </c>
      <c r="G287" s="3">
        <v>32</v>
      </c>
      <c r="H287" s="4" t="str">
        <f>IF(AND(A287="Yes",C287="School"),COUNTIFS($A$6:A287,"Yes",$C$6:C287,"School"),"")</f>
        <v/>
      </c>
    </row>
    <row r="288" spans="1:8">
      <c r="A288" s="13"/>
      <c r="B288" s="1" t="s">
        <v>533</v>
      </c>
      <c r="C288" s="1" t="s">
        <v>24</v>
      </c>
      <c r="D288" s="1" t="s">
        <v>593</v>
      </c>
      <c r="E288" s="1" t="s">
        <v>594</v>
      </c>
      <c r="F288" s="2">
        <v>591</v>
      </c>
      <c r="G288" s="3">
        <v>39.4</v>
      </c>
      <c r="H288" s="4" t="str">
        <f>IF(AND(A288="Yes",C288="School"),COUNTIFS($A$6:A288,"Yes",$C$6:C288,"School"),"")</f>
        <v/>
      </c>
    </row>
    <row r="289" spans="1:8">
      <c r="A289" s="13"/>
      <c r="B289" s="1" t="s">
        <v>533</v>
      </c>
      <c r="C289" s="1" t="s">
        <v>24</v>
      </c>
      <c r="D289" s="1" t="s">
        <v>595</v>
      </c>
      <c r="E289" s="1" t="s">
        <v>596</v>
      </c>
      <c r="F289" s="2">
        <v>76</v>
      </c>
      <c r="G289" s="3">
        <v>48.7</v>
      </c>
      <c r="H289" s="4" t="str">
        <f>IF(AND(A289="Yes",C289="School"),COUNTIFS($A$6:A289,"Yes",$C$6:C289,"School"),"")</f>
        <v/>
      </c>
    </row>
    <row r="290" spans="1:8">
      <c r="A290" s="13"/>
      <c r="B290" s="1" t="s">
        <v>533</v>
      </c>
      <c r="C290" s="1" t="s">
        <v>24</v>
      </c>
      <c r="D290" s="1" t="s">
        <v>597</v>
      </c>
      <c r="E290" s="1" t="s">
        <v>598</v>
      </c>
      <c r="F290" s="2">
        <v>884</v>
      </c>
      <c r="G290" s="3">
        <v>52.3</v>
      </c>
      <c r="H290" s="4" t="str">
        <f>IF(AND(A290="Yes",C290="School"),COUNTIFS($A$6:A290,"Yes",$C$6:C290,"School"),"")</f>
        <v/>
      </c>
    </row>
    <row r="291" spans="1:8">
      <c r="A291" s="13"/>
      <c r="B291" s="1" t="s">
        <v>533</v>
      </c>
      <c r="C291" s="1" t="s">
        <v>24</v>
      </c>
      <c r="D291" s="1" t="s">
        <v>599</v>
      </c>
      <c r="E291" s="1" t="s">
        <v>600</v>
      </c>
      <c r="F291" s="2">
        <v>697</v>
      </c>
      <c r="G291" s="3">
        <v>52.8</v>
      </c>
      <c r="H291" s="4" t="str">
        <f>IF(AND(A291="Yes",C291="School"),COUNTIFS($A$6:A291,"Yes",$C$6:C291,"School"),"")</f>
        <v/>
      </c>
    </row>
    <row r="292" spans="1:8">
      <c r="A292" s="13"/>
      <c r="B292" s="1" t="s">
        <v>533</v>
      </c>
      <c r="C292" s="1" t="s">
        <v>24</v>
      </c>
      <c r="D292" s="1" t="s">
        <v>601</v>
      </c>
      <c r="E292" s="1" t="s">
        <v>602</v>
      </c>
      <c r="F292" s="2">
        <v>891</v>
      </c>
      <c r="G292" s="3">
        <v>56.5</v>
      </c>
      <c r="H292" s="4" t="str">
        <f>IF(AND(A292="Yes",C292="School"),COUNTIFS($A$6:A292,"Yes",$C$6:C292,"School"),"")</f>
        <v/>
      </c>
    </row>
    <row r="293" spans="1:8">
      <c r="A293" s="13"/>
      <c r="B293" s="1" t="s">
        <v>533</v>
      </c>
      <c r="C293" s="1" t="s">
        <v>24</v>
      </c>
      <c r="D293" s="1" t="s">
        <v>603</v>
      </c>
      <c r="E293" s="1" t="s">
        <v>604</v>
      </c>
      <c r="F293" s="2">
        <v>674</v>
      </c>
      <c r="G293" s="3">
        <v>53.7</v>
      </c>
      <c r="H293" s="4" t="str">
        <f>IF(AND(A293="Yes",C293="School"),COUNTIFS($A$6:A293,"Yes",$C$6:C293,"School"),"")</f>
        <v/>
      </c>
    </row>
    <row r="294" spans="1:8">
      <c r="A294" s="13"/>
      <c r="B294" s="1" t="s">
        <v>533</v>
      </c>
      <c r="C294" s="1" t="s">
        <v>24</v>
      </c>
      <c r="D294" s="1" t="s">
        <v>605</v>
      </c>
      <c r="E294" s="1" t="s">
        <v>606</v>
      </c>
      <c r="F294" s="2">
        <v>660</v>
      </c>
      <c r="G294" s="3">
        <v>58.8</v>
      </c>
      <c r="H294" s="4" t="str">
        <f>IF(AND(A294="Yes",C294="School"),COUNTIFS($A$6:A294,"Yes",$C$6:C294,"School"),"")</f>
        <v/>
      </c>
    </row>
    <row r="295" spans="1:8">
      <c r="A295" s="13"/>
      <c r="B295" s="1" t="s">
        <v>533</v>
      </c>
      <c r="C295" s="1" t="s">
        <v>24</v>
      </c>
      <c r="D295" s="1" t="s">
        <v>607</v>
      </c>
      <c r="E295" s="1" t="s">
        <v>608</v>
      </c>
      <c r="F295" s="2">
        <v>774</v>
      </c>
      <c r="G295" s="3">
        <v>50.6</v>
      </c>
      <c r="H295" s="4" t="str">
        <f>IF(AND(A295="Yes",C295="School"),COUNTIFS($A$6:A295,"Yes",$C$6:C295,"School"),"")</f>
        <v/>
      </c>
    </row>
    <row r="296" spans="1:8">
      <c r="A296" s="13"/>
      <c r="B296" s="1" t="s">
        <v>533</v>
      </c>
      <c r="C296" s="1" t="s">
        <v>24</v>
      </c>
      <c r="D296" s="1" t="s">
        <v>609</v>
      </c>
      <c r="E296" s="1" t="s">
        <v>610</v>
      </c>
      <c r="F296" s="2">
        <v>1108</v>
      </c>
      <c r="G296" s="3">
        <v>15.1</v>
      </c>
      <c r="H296" s="4" t="str">
        <f>IF(AND(A296="Yes",C296="School"),COUNTIFS($A$6:A296,"Yes",$C$6:C296,"School"),"")</f>
        <v/>
      </c>
    </row>
    <row r="297" spans="1:8">
      <c r="A297" s="13"/>
      <c r="B297" s="1" t="s">
        <v>533</v>
      </c>
      <c r="C297" s="1" t="s">
        <v>24</v>
      </c>
      <c r="D297" s="1" t="s">
        <v>611</v>
      </c>
      <c r="E297" s="1" t="s">
        <v>612</v>
      </c>
      <c r="F297" s="2">
        <v>1076</v>
      </c>
      <c r="G297" s="3">
        <v>16.100000000000001</v>
      </c>
      <c r="H297" s="4" t="str">
        <f>IF(AND(A297="Yes",C297="School"),COUNTIFS($A$6:A297,"Yes",$C$6:C297,"School"),"")</f>
        <v/>
      </c>
    </row>
    <row r="298" spans="1:8">
      <c r="A298" s="13"/>
      <c r="B298" s="1" t="s">
        <v>533</v>
      </c>
      <c r="C298" s="1" t="s">
        <v>24</v>
      </c>
      <c r="D298" s="1" t="s">
        <v>613</v>
      </c>
      <c r="E298" s="1" t="s">
        <v>614</v>
      </c>
      <c r="F298" s="2">
        <v>1032</v>
      </c>
      <c r="G298" s="3">
        <v>57.8</v>
      </c>
      <c r="H298" s="4" t="str">
        <f>IF(AND(A298="Yes",C298="School"),COUNTIFS($A$6:A298,"Yes",$C$6:C298,"School"),"")</f>
        <v/>
      </c>
    </row>
    <row r="299" spans="1:8">
      <c r="A299" s="13"/>
      <c r="B299" s="1" t="s">
        <v>533</v>
      </c>
      <c r="C299" s="1" t="s">
        <v>24</v>
      </c>
      <c r="D299" s="1" t="s">
        <v>615</v>
      </c>
      <c r="E299" s="1" t="s">
        <v>616</v>
      </c>
      <c r="F299" s="2">
        <v>1558</v>
      </c>
      <c r="G299" s="3">
        <v>59.9</v>
      </c>
      <c r="H299" s="4" t="str">
        <f>IF(AND(A299="Yes",C299="School"),COUNTIFS($A$6:A299,"Yes",$C$6:C299,"School"),"")</f>
        <v/>
      </c>
    </row>
    <row r="300" spans="1:8">
      <c r="A300" s="13"/>
      <c r="B300" s="1" t="s">
        <v>533</v>
      </c>
      <c r="C300" s="1" t="s">
        <v>24</v>
      </c>
      <c r="D300" s="1" t="s">
        <v>617</v>
      </c>
      <c r="E300" s="1" t="s">
        <v>618</v>
      </c>
      <c r="F300" s="2">
        <v>751</v>
      </c>
      <c r="G300" s="3">
        <v>60.1</v>
      </c>
      <c r="H300" s="4" t="str">
        <f>IF(AND(A300="Yes",C300="School"),COUNTIFS($A$6:A300,"Yes",$C$6:C300,"School"),"")</f>
        <v/>
      </c>
    </row>
    <row r="301" spans="1:8">
      <c r="A301" s="13"/>
      <c r="B301" s="1" t="s">
        <v>533</v>
      </c>
      <c r="C301" s="1" t="s">
        <v>24</v>
      </c>
      <c r="D301" s="1" t="s">
        <v>619</v>
      </c>
      <c r="E301" s="1" t="s">
        <v>620</v>
      </c>
      <c r="F301" s="2">
        <v>684</v>
      </c>
      <c r="G301" s="3">
        <v>59.1</v>
      </c>
      <c r="H301" s="4" t="str">
        <f>IF(AND(A301="Yes",C301="School"),COUNTIFS($A$6:A301,"Yes",$C$6:C301,"School"),"")</f>
        <v/>
      </c>
    </row>
    <row r="302" spans="1:8">
      <c r="A302" s="13"/>
      <c r="B302" s="1" t="s">
        <v>621</v>
      </c>
      <c r="C302" s="1" t="s">
        <v>40</v>
      </c>
      <c r="D302" s="1" t="s">
        <v>41</v>
      </c>
      <c r="E302" s="1" t="s">
        <v>622</v>
      </c>
      <c r="F302" s="2">
        <v>10173</v>
      </c>
      <c r="G302" s="3">
        <v>52.7</v>
      </c>
      <c r="H302" s="4" t="str">
        <f>IF(AND(A302="Yes",C302="School"),COUNTIFS($A$6:A302,"Yes",$C$6:C302,"School"),"")</f>
        <v/>
      </c>
    </row>
    <row r="303" spans="1:8">
      <c r="A303" s="13"/>
      <c r="B303" s="1" t="s">
        <v>621</v>
      </c>
      <c r="C303" s="1" t="s">
        <v>24</v>
      </c>
      <c r="D303" s="1" t="s">
        <v>623</v>
      </c>
      <c r="E303" s="1" t="s">
        <v>624</v>
      </c>
      <c r="F303" s="2">
        <v>330</v>
      </c>
      <c r="G303" s="3">
        <v>60.3</v>
      </c>
      <c r="H303" s="4" t="str">
        <f>IF(AND(A303="Yes",C303="School"),COUNTIFS($A$6:A303,"Yes",$C$6:C303,"School"),"")</f>
        <v/>
      </c>
    </row>
    <row r="304" spans="1:8">
      <c r="A304" s="13"/>
      <c r="B304" s="1" t="s">
        <v>621</v>
      </c>
      <c r="C304" s="1" t="s">
        <v>24</v>
      </c>
      <c r="D304" s="1" t="s">
        <v>625</v>
      </c>
      <c r="E304" s="1" t="s">
        <v>626</v>
      </c>
      <c r="F304" s="2">
        <v>227</v>
      </c>
      <c r="G304" s="3">
        <v>37.4</v>
      </c>
      <c r="H304" s="4" t="str">
        <f>IF(AND(A304="Yes",C304="School"),COUNTIFS($A$6:A304,"Yes",$C$6:C304,"School"),"")</f>
        <v/>
      </c>
    </row>
    <row r="305" spans="1:8">
      <c r="A305" s="13"/>
      <c r="B305" s="1" t="s">
        <v>621</v>
      </c>
      <c r="C305" s="1" t="s">
        <v>24</v>
      </c>
      <c r="D305" s="1" t="s">
        <v>627</v>
      </c>
      <c r="E305" s="1" t="s">
        <v>628</v>
      </c>
      <c r="F305" s="2">
        <v>373</v>
      </c>
      <c r="G305" s="3">
        <v>36.5</v>
      </c>
      <c r="H305" s="4" t="str">
        <f>IF(AND(A305="Yes",C305="School"),COUNTIFS($A$6:A305,"Yes",$C$6:C305,"School"),"")</f>
        <v/>
      </c>
    </row>
    <row r="306" spans="1:8">
      <c r="A306" s="13"/>
      <c r="B306" s="1" t="s">
        <v>621</v>
      </c>
      <c r="C306" s="1" t="s">
        <v>24</v>
      </c>
      <c r="D306" s="1" t="s">
        <v>629</v>
      </c>
      <c r="E306" s="1" t="s">
        <v>630</v>
      </c>
      <c r="F306" s="2">
        <v>121</v>
      </c>
      <c r="G306" s="3">
        <v>51.2</v>
      </c>
      <c r="H306" s="4" t="str">
        <f>IF(AND(A306="Yes",C306="School"),COUNTIFS($A$6:A306,"Yes",$C$6:C306,"School"),"")</f>
        <v/>
      </c>
    </row>
    <row r="307" spans="1:8">
      <c r="A307" s="13"/>
      <c r="B307" s="1" t="s">
        <v>621</v>
      </c>
      <c r="C307" s="1" t="s">
        <v>24</v>
      </c>
      <c r="D307" s="1" t="s">
        <v>631</v>
      </c>
      <c r="E307" s="1" t="s">
        <v>632</v>
      </c>
      <c r="F307" s="2">
        <v>322</v>
      </c>
      <c r="G307" s="3">
        <v>59</v>
      </c>
      <c r="H307" s="4" t="str">
        <f>IF(AND(A307="Yes",C307="School"),COUNTIFS($A$6:A307,"Yes",$C$6:C307,"School"),"")</f>
        <v/>
      </c>
    </row>
    <row r="308" spans="1:8">
      <c r="A308" s="13"/>
      <c r="B308" s="1" t="s">
        <v>621</v>
      </c>
      <c r="C308" s="1" t="s">
        <v>24</v>
      </c>
      <c r="D308" s="1" t="s">
        <v>633</v>
      </c>
      <c r="E308" s="1" t="s">
        <v>634</v>
      </c>
      <c r="F308" s="2">
        <v>396</v>
      </c>
      <c r="G308" s="3">
        <v>59.8</v>
      </c>
      <c r="H308" s="4" t="str">
        <f>IF(AND(A308="Yes",C308="School"),COUNTIFS($A$6:A308,"Yes",$C$6:C308,"School"),"")</f>
        <v/>
      </c>
    </row>
    <row r="309" spans="1:8">
      <c r="A309" s="13"/>
      <c r="B309" s="1" t="s">
        <v>621</v>
      </c>
      <c r="C309" s="1" t="s">
        <v>24</v>
      </c>
      <c r="D309" s="1" t="s">
        <v>635</v>
      </c>
      <c r="E309" s="1" t="s">
        <v>636</v>
      </c>
      <c r="F309" s="2">
        <v>426</v>
      </c>
      <c r="G309" s="3">
        <v>53.3</v>
      </c>
      <c r="H309" s="4" t="str">
        <f>IF(AND(A309="Yes",C309="School"),COUNTIFS($A$6:A309,"Yes",$C$6:C309,"School"),"")</f>
        <v/>
      </c>
    </row>
    <row r="310" spans="1:8">
      <c r="A310" s="13"/>
      <c r="B310" s="1" t="s">
        <v>621</v>
      </c>
      <c r="C310" s="1" t="s">
        <v>24</v>
      </c>
      <c r="D310" s="1" t="s">
        <v>637</v>
      </c>
      <c r="E310" s="1" t="s">
        <v>638</v>
      </c>
      <c r="F310" s="2">
        <v>456</v>
      </c>
      <c r="G310" s="3">
        <v>67.3</v>
      </c>
      <c r="H310" s="4" t="str">
        <f>IF(AND(A310="Yes",C310="School"),COUNTIFS($A$6:A310,"Yes",$C$6:C310,"School"),"")</f>
        <v/>
      </c>
    </row>
    <row r="311" spans="1:8">
      <c r="A311" s="13"/>
      <c r="B311" s="1" t="s">
        <v>621</v>
      </c>
      <c r="C311" s="1" t="s">
        <v>24</v>
      </c>
      <c r="D311" s="1" t="s">
        <v>639</v>
      </c>
      <c r="E311" s="1" t="s">
        <v>640</v>
      </c>
      <c r="F311" s="2">
        <v>445</v>
      </c>
      <c r="G311" s="3">
        <v>59.8</v>
      </c>
      <c r="H311" s="4" t="str">
        <f>IF(AND(A311="Yes",C311="School"),COUNTIFS($A$6:A311,"Yes",$C$6:C311,"School"),"")</f>
        <v/>
      </c>
    </row>
    <row r="312" spans="1:8">
      <c r="A312" s="13"/>
      <c r="B312" s="1" t="s">
        <v>621</v>
      </c>
      <c r="C312" s="1" t="s">
        <v>24</v>
      </c>
      <c r="D312" s="1" t="s">
        <v>641</v>
      </c>
      <c r="E312" s="1" t="s">
        <v>642</v>
      </c>
      <c r="F312" s="2">
        <v>76</v>
      </c>
      <c r="G312" s="3">
        <v>77.599999999999994</v>
      </c>
      <c r="H312" s="4" t="str">
        <f>IF(AND(A312="Yes",C312="School"),COUNTIFS($A$6:A312,"Yes",$C$6:C312,"School"),"")</f>
        <v/>
      </c>
    </row>
    <row r="313" spans="1:8">
      <c r="A313" s="13"/>
      <c r="B313" s="1" t="s">
        <v>621</v>
      </c>
      <c r="C313" s="1" t="s">
        <v>24</v>
      </c>
      <c r="D313" s="1" t="s">
        <v>643</v>
      </c>
      <c r="E313" s="1" t="s">
        <v>644</v>
      </c>
      <c r="F313" s="2">
        <v>643</v>
      </c>
      <c r="G313" s="3">
        <v>48.1</v>
      </c>
      <c r="H313" s="4" t="str">
        <f>IF(AND(A313="Yes",C313="School"),COUNTIFS($A$6:A313,"Yes",$C$6:C313,"School"),"")</f>
        <v/>
      </c>
    </row>
    <row r="314" spans="1:8">
      <c r="A314" s="13"/>
      <c r="B314" s="1" t="s">
        <v>621</v>
      </c>
      <c r="C314" s="1" t="s">
        <v>24</v>
      </c>
      <c r="D314" s="1" t="s">
        <v>645</v>
      </c>
      <c r="E314" s="1" t="s">
        <v>646</v>
      </c>
      <c r="F314" s="2">
        <v>539</v>
      </c>
      <c r="G314" s="3">
        <v>40.1</v>
      </c>
      <c r="H314" s="4" t="str">
        <f>IF(AND(A314="Yes",C314="School"),COUNTIFS($A$6:A314,"Yes",$C$6:C314,"School"),"")</f>
        <v/>
      </c>
    </row>
    <row r="315" spans="1:8">
      <c r="A315" s="13"/>
      <c r="B315" s="1" t="s">
        <v>621</v>
      </c>
      <c r="C315" s="1" t="s">
        <v>24</v>
      </c>
      <c r="D315" s="1" t="s">
        <v>647</v>
      </c>
      <c r="E315" s="1" t="s">
        <v>648</v>
      </c>
      <c r="F315" s="2">
        <v>220</v>
      </c>
      <c r="G315" s="3">
        <v>53.2</v>
      </c>
      <c r="H315" s="4" t="str">
        <f>IF(AND(A315="Yes",C315="School"),COUNTIFS($A$6:A315,"Yes",$C$6:C315,"School"),"")</f>
        <v/>
      </c>
    </row>
    <row r="316" spans="1:8">
      <c r="A316" s="13"/>
      <c r="B316" s="1" t="s">
        <v>621</v>
      </c>
      <c r="C316" s="1" t="s">
        <v>24</v>
      </c>
      <c r="D316" s="1" t="s">
        <v>649</v>
      </c>
      <c r="E316" s="1" t="s">
        <v>650</v>
      </c>
      <c r="F316" s="2">
        <v>750</v>
      </c>
      <c r="G316" s="3">
        <v>47.7</v>
      </c>
      <c r="H316" s="4" t="str">
        <f>IF(AND(A316="Yes",C316="School"),COUNTIFS($A$6:A316,"Yes",$C$6:C316,"School"),"")</f>
        <v/>
      </c>
    </row>
    <row r="317" spans="1:8">
      <c r="A317" s="13"/>
      <c r="B317" s="1" t="s">
        <v>621</v>
      </c>
      <c r="C317" s="1" t="s">
        <v>24</v>
      </c>
      <c r="D317" s="1" t="s">
        <v>651</v>
      </c>
      <c r="E317" s="1" t="s">
        <v>652</v>
      </c>
      <c r="F317" s="2">
        <v>44</v>
      </c>
      <c r="G317" s="3">
        <v>88.6</v>
      </c>
      <c r="H317" s="4" t="str">
        <f>IF(AND(A317="Yes",C317="School"),COUNTIFS($A$6:A317,"Yes",$C$6:C317,"School"),"")</f>
        <v/>
      </c>
    </row>
    <row r="318" spans="1:8">
      <c r="A318" s="13"/>
      <c r="B318" s="1" t="s">
        <v>621</v>
      </c>
      <c r="C318" s="1" t="s">
        <v>24</v>
      </c>
      <c r="D318" s="1" t="s">
        <v>653</v>
      </c>
      <c r="E318" s="1" t="s">
        <v>654</v>
      </c>
      <c r="F318" s="2">
        <v>666</v>
      </c>
      <c r="G318" s="3">
        <v>53</v>
      </c>
      <c r="H318" s="4" t="str">
        <f>IF(AND(A318="Yes",C318="School"),COUNTIFS($A$6:A318,"Yes",$C$6:C318,"School"),"")</f>
        <v/>
      </c>
    </row>
    <row r="319" spans="1:8">
      <c r="A319" s="13"/>
      <c r="B319" s="1" t="s">
        <v>621</v>
      </c>
      <c r="C319" s="1" t="s">
        <v>24</v>
      </c>
      <c r="D319" s="1" t="s">
        <v>655</v>
      </c>
      <c r="E319" s="1" t="s">
        <v>656</v>
      </c>
      <c r="F319" s="2">
        <v>536</v>
      </c>
      <c r="G319" s="3">
        <v>47.8</v>
      </c>
      <c r="H319" s="4" t="str">
        <f>IF(AND(A319="Yes",C319="School"),COUNTIFS($A$6:A319,"Yes",$C$6:C319,"School"),"")</f>
        <v/>
      </c>
    </row>
    <row r="320" spans="1:8">
      <c r="A320" s="13"/>
      <c r="B320" s="1" t="s">
        <v>621</v>
      </c>
      <c r="C320" s="1" t="s">
        <v>24</v>
      </c>
      <c r="D320" s="1" t="s">
        <v>657</v>
      </c>
      <c r="E320" s="1" t="s">
        <v>658</v>
      </c>
      <c r="F320" s="2">
        <v>142</v>
      </c>
      <c r="G320" s="3">
        <v>63.4</v>
      </c>
      <c r="H320" s="4" t="str">
        <f>IF(AND(A320="Yes",C320="School"),COUNTIFS($A$6:A320,"Yes",$C$6:C320,"School"),"")</f>
        <v/>
      </c>
    </row>
    <row r="321" spans="1:8">
      <c r="A321" s="13"/>
      <c r="B321" s="1" t="s">
        <v>621</v>
      </c>
      <c r="C321" s="1" t="s">
        <v>24</v>
      </c>
      <c r="D321" s="1" t="s">
        <v>659</v>
      </c>
      <c r="E321" s="1" t="s">
        <v>660</v>
      </c>
      <c r="F321" s="2">
        <v>348</v>
      </c>
      <c r="G321" s="3">
        <v>51.7</v>
      </c>
      <c r="H321" s="4" t="str">
        <f>IF(AND(A321="Yes",C321="School"),COUNTIFS($A$6:A321,"Yes",$C$6:C321,"School"),"")</f>
        <v/>
      </c>
    </row>
    <row r="322" spans="1:8">
      <c r="A322" s="13"/>
      <c r="B322" s="1" t="s">
        <v>621</v>
      </c>
      <c r="C322" s="1" t="s">
        <v>24</v>
      </c>
      <c r="D322" s="1" t="s">
        <v>661</v>
      </c>
      <c r="E322" s="1" t="s">
        <v>662</v>
      </c>
      <c r="F322" s="2">
        <v>317</v>
      </c>
      <c r="G322" s="3">
        <v>58.7</v>
      </c>
      <c r="H322" s="4" t="str">
        <f>IF(AND(A322="Yes",C322="School"),COUNTIFS($A$6:A322,"Yes",$C$6:C322,"School"),"")</f>
        <v/>
      </c>
    </row>
    <row r="323" spans="1:8">
      <c r="A323" s="13"/>
      <c r="B323" s="1" t="s">
        <v>621</v>
      </c>
      <c r="C323" s="1" t="s">
        <v>24</v>
      </c>
      <c r="D323" s="1" t="s">
        <v>663</v>
      </c>
      <c r="E323" s="1" t="s">
        <v>664</v>
      </c>
      <c r="F323" s="2">
        <v>1087</v>
      </c>
      <c r="G323" s="3">
        <v>39.700000000000003</v>
      </c>
      <c r="H323" s="4" t="str">
        <f>IF(AND(A323="Yes",C323="School"),COUNTIFS($A$6:A323,"Yes",$C$6:C323,"School"),"")</f>
        <v/>
      </c>
    </row>
    <row r="324" spans="1:8">
      <c r="A324" s="13"/>
      <c r="B324" s="1" t="s">
        <v>621</v>
      </c>
      <c r="C324" s="1" t="s">
        <v>24</v>
      </c>
      <c r="D324" s="1" t="s">
        <v>665</v>
      </c>
      <c r="E324" s="1" t="s">
        <v>666</v>
      </c>
      <c r="F324" s="2">
        <v>307</v>
      </c>
      <c r="G324" s="3">
        <v>73.900000000000006</v>
      </c>
      <c r="H324" s="4" t="str">
        <f>IF(AND(A324="Yes",C324="School"),COUNTIFS($A$6:A324,"Yes",$C$6:C324,"School"),"")</f>
        <v/>
      </c>
    </row>
    <row r="325" spans="1:8">
      <c r="A325" s="13"/>
      <c r="B325" s="1" t="s">
        <v>621</v>
      </c>
      <c r="C325" s="1" t="s">
        <v>24</v>
      </c>
      <c r="D325" s="1" t="s">
        <v>667</v>
      </c>
      <c r="E325" s="1" t="s">
        <v>668</v>
      </c>
      <c r="F325" s="2">
        <v>553</v>
      </c>
      <c r="G325" s="3">
        <v>56.6</v>
      </c>
      <c r="H325" s="4" t="str">
        <f>IF(AND(A325="Yes",C325="School"),COUNTIFS($A$6:A325,"Yes",$C$6:C325,"School"),"")</f>
        <v/>
      </c>
    </row>
    <row r="326" spans="1:8">
      <c r="A326" s="13"/>
      <c r="B326" s="1" t="s">
        <v>621</v>
      </c>
      <c r="C326" s="1" t="s">
        <v>24</v>
      </c>
      <c r="D326" s="1" t="s">
        <v>669</v>
      </c>
      <c r="E326" s="1" t="s">
        <v>670</v>
      </c>
      <c r="F326" s="2">
        <v>323</v>
      </c>
      <c r="G326" s="3">
        <v>71.8</v>
      </c>
      <c r="H326" s="4" t="str">
        <f>IF(AND(A326="Yes",C326="School"),COUNTIFS($A$6:A326,"Yes",$C$6:C326,"School"),"")</f>
        <v/>
      </c>
    </row>
    <row r="327" spans="1:8">
      <c r="A327" s="13"/>
      <c r="B327" s="1" t="s">
        <v>621</v>
      </c>
      <c r="C327" s="1" t="s">
        <v>24</v>
      </c>
      <c r="D327" s="1" t="s">
        <v>671</v>
      </c>
      <c r="E327" s="1" t="s">
        <v>672</v>
      </c>
      <c r="F327" s="2">
        <v>526</v>
      </c>
      <c r="G327" s="3">
        <v>53.8</v>
      </c>
      <c r="H327" s="4" t="str">
        <f>IF(AND(A327="Yes",C327="School"),COUNTIFS($A$6:A327,"Yes",$C$6:C327,"School"),"")</f>
        <v/>
      </c>
    </row>
    <row r="328" spans="1:8">
      <c r="A328" s="13"/>
      <c r="B328" s="1" t="s">
        <v>673</v>
      </c>
      <c r="C328" s="1" t="s">
        <v>40</v>
      </c>
      <c r="D328" s="1" t="s">
        <v>41</v>
      </c>
      <c r="E328" s="1" t="s">
        <v>674</v>
      </c>
      <c r="F328" s="2">
        <v>1878</v>
      </c>
      <c r="G328" s="3">
        <v>26.5</v>
      </c>
      <c r="H328" s="4" t="str">
        <f>IF(AND(A328="Yes",C328="School"),COUNTIFS($A$6:A328,"Yes",$C$6:C328,"School"),"")</f>
        <v/>
      </c>
    </row>
    <row r="329" spans="1:8">
      <c r="A329" s="13"/>
      <c r="B329" s="1" t="s">
        <v>673</v>
      </c>
      <c r="C329" s="1" t="s">
        <v>24</v>
      </c>
      <c r="D329" s="1" t="s">
        <v>675</v>
      </c>
      <c r="E329" s="1" t="s">
        <v>676</v>
      </c>
      <c r="F329" s="2">
        <v>451</v>
      </c>
      <c r="G329" s="3">
        <v>23.7</v>
      </c>
      <c r="H329" s="4" t="str">
        <f>IF(AND(A329="Yes",C329="School"),COUNTIFS($A$6:A329,"Yes",$C$6:C329,"School"),"")</f>
        <v/>
      </c>
    </row>
    <row r="330" spans="1:8">
      <c r="A330" s="13"/>
      <c r="B330" s="1" t="s">
        <v>673</v>
      </c>
      <c r="C330" s="1" t="s">
        <v>24</v>
      </c>
      <c r="D330" s="1" t="s">
        <v>677</v>
      </c>
      <c r="E330" s="1" t="s">
        <v>678</v>
      </c>
      <c r="F330" s="2">
        <v>123</v>
      </c>
      <c r="G330" s="3">
        <v>19.5</v>
      </c>
      <c r="H330" s="4" t="str">
        <f>IF(AND(A330="Yes",C330="School"),COUNTIFS($A$6:A330,"Yes",$C$6:C330,"School"),"")</f>
        <v/>
      </c>
    </row>
    <row r="331" spans="1:8">
      <c r="A331" s="13"/>
      <c r="B331" s="1" t="s">
        <v>673</v>
      </c>
      <c r="C331" s="1" t="s">
        <v>24</v>
      </c>
      <c r="D331" s="1" t="s">
        <v>679</v>
      </c>
      <c r="E331" s="1" t="s">
        <v>680</v>
      </c>
      <c r="F331" s="2">
        <v>451</v>
      </c>
      <c r="G331" s="3">
        <v>28.4</v>
      </c>
      <c r="H331" s="4" t="str">
        <f>IF(AND(A331="Yes",C331="School"),COUNTIFS($A$6:A331,"Yes",$C$6:C331,"School"),"")</f>
        <v/>
      </c>
    </row>
    <row r="332" spans="1:8">
      <c r="A332" s="13"/>
      <c r="B332" s="1" t="s">
        <v>673</v>
      </c>
      <c r="C332" s="1" t="s">
        <v>24</v>
      </c>
      <c r="D332" s="1" t="s">
        <v>681</v>
      </c>
      <c r="E332" s="1" t="s">
        <v>682</v>
      </c>
      <c r="F332" s="2">
        <v>445</v>
      </c>
      <c r="G332" s="3">
        <v>24.5</v>
      </c>
      <c r="H332" s="4" t="str">
        <f>IF(AND(A332="Yes",C332="School"),COUNTIFS($A$6:A332,"Yes",$C$6:C332,"School"),"")</f>
        <v/>
      </c>
    </row>
    <row r="333" spans="1:8">
      <c r="A333" s="13"/>
      <c r="B333" s="1" t="s">
        <v>673</v>
      </c>
      <c r="C333" s="1" t="s">
        <v>24</v>
      </c>
      <c r="D333" s="1" t="s">
        <v>683</v>
      </c>
      <c r="E333" s="1" t="s">
        <v>684</v>
      </c>
      <c r="F333" s="2">
        <v>408</v>
      </c>
      <c r="G333" s="3">
        <v>31.6</v>
      </c>
      <c r="H333" s="4" t="str">
        <f>IF(AND(A333="Yes",C333="School"),COUNTIFS($A$6:A333,"Yes",$C$6:C333,"School"),"")</f>
        <v/>
      </c>
    </row>
    <row r="334" spans="1:8">
      <c r="A334" s="13"/>
      <c r="B334" s="1" t="s">
        <v>685</v>
      </c>
      <c r="C334" s="1" t="s">
        <v>24</v>
      </c>
      <c r="D334" s="1" t="s">
        <v>685</v>
      </c>
      <c r="E334" s="1" t="s">
        <v>686</v>
      </c>
      <c r="F334" s="2">
        <v>390</v>
      </c>
      <c r="G334" s="3">
        <v>26.7</v>
      </c>
      <c r="H334" s="4" t="str">
        <f>IF(AND(A334="Yes",C334="School"),COUNTIFS($A$6:A334,"Yes",$C$6:C334,"School"),"")</f>
        <v/>
      </c>
    </row>
    <row r="335" spans="1:8">
      <c r="A335" s="13"/>
      <c r="B335" s="1" t="s">
        <v>687</v>
      </c>
      <c r="C335" s="1" t="s">
        <v>24</v>
      </c>
      <c r="D335" s="1" t="s">
        <v>687</v>
      </c>
      <c r="E335" s="1" t="s">
        <v>688</v>
      </c>
      <c r="F335" s="2">
        <v>554</v>
      </c>
      <c r="G335" s="3">
        <v>65.5</v>
      </c>
      <c r="H335" s="4" t="str">
        <f>IF(AND(A335="Yes",C335="School"),COUNTIFS($A$6:A335,"Yes",$C$6:C335,"School"),"")</f>
        <v/>
      </c>
    </row>
    <row r="336" spans="1:8">
      <c r="A336" s="13"/>
      <c r="B336" s="1" t="s">
        <v>689</v>
      </c>
      <c r="C336" s="1" t="s">
        <v>24</v>
      </c>
      <c r="D336" s="1" t="s">
        <v>689</v>
      </c>
      <c r="E336" s="1" t="s">
        <v>690</v>
      </c>
      <c r="F336" s="2">
        <v>379</v>
      </c>
      <c r="G336" s="3">
        <v>49.1</v>
      </c>
      <c r="H336" s="4" t="str">
        <f>IF(AND(A336="Yes",C336="School"),COUNTIFS($A$6:A336,"Yes",$C$6:C336,"School"),"")</f>
        <v/>
      </c>
    </row>
    <row r="337" spans="1:8">
      <c r="A337" s="13"/>
      <c r="B337" s="1" t="s">
        <v>691</v>
      </c>
      <c r="C337" s="1" t="s">
        <v>24</v>
      </c>
      <c r="D337" s="1" t="s">
        <v>691</v>
      </c>
      <c r="E337" s="1" t="s">
        <v>692</v>
      </c>
      <c r="F337" s="2">
        <v>111</v>
      </c>
      <c r="G337" s="3">
        <v>57.7</v>
      </c>
      <c r="H337" s="4" t="str">
        <f>IF(AND(A337="Yes",C337="School"),COUNTIFS($A$6:A337,"Yes",$C$6:C337,"School"),"")</f>
        <v/>
      </c>
    </row>
    <row r="338" spans="1:8">
      <c r="A338" s="13"/>
      <c r="B338" s="1" t="s">
        <v>693</v>
      </c>
      <c r="C338" s="1" t="s">
        <v>24</v>
      </c>
      <c r="D338" s="1" t="s">
        <v>693</v>
      </c>
      <c r="E338" s="1" t="s">
        <v>694</v>
      </c>
      <c r="F338" s="2">
        <v>795</v>
      </c>
      <c r="G338" s="3">
        <v>23.5</v>
      </c>
      <c r="H338" s="4" t="str">
        <f>IF(AND(A338="Yes",C338="School"),COUNTIFS($A$6:A338,"Yes",$C$6:C338,"School"),"")</f>
        <v/>
      </c>
    </row>
    <row r="339" spans="1:8">
      <c r="A339" s="13"/>
      <c r="B339" s="1" t="s">
        <v>695</v>
      </c>
      <c r="C339" s="1" t="s">
        <v>24</v>
      </c>
      <c r="D339" s="1" t="s">
        <v>695</v>
      </c>
      <c r="E339" s="1" t="s">
        <v>696</v>
      </c>
      <c r="F339" s="2">
        <v>106</v>
      </c>
      <c r="G339" s="3">
        <v>84</v>
      </c>
      <c r="H339" s="4" t="str">
        <f>IF(AND(A339="Yes",C339="School"),COUNTIFS($A$6:A339,"Yes",$C$6:C339,"School"),"")</f>
        <v/>
      </c>
    </row>
    <row r="340" spans="1:8">
      <c r="A340" s="13"/>
      <c r="B340" s="1" t="s">
        <v>697</v>
      </c>
      <c r="C340" s="1" t="s">
        <v>24</v>
      </c>
      <c r="D340" s="1" t="s">
        <v>697</v>
      </c>
      <c r="E340" s="1" t="s">
        <v>698</v>
      </c>
      <c r="F340" s="2">
        <v>745</v>
      </c>
      <c r="G340" s="3">
        <v>39.700000000000003</v>
      </c>
      <c r="H340" s="4" t="str">
        <f>IF(AND(A340="Yes",C340="School"),COUNTIFS($A$6:A340,"Yes",$C$6:C340,"School"),"")</f>
        <v/>
      </c>
    </row>
    <row r="341" spans="1:8">
      <c r="A341" s="13"/>
      <c r="B341" s="1" t="s">
        <v>699</v>
      </c>
      <c r="C341" s="1" t="s">
        <v>24</v>
      </c>
      <c r="D341" s="1" t="s">
        <v>699</v>
      </c>
      <c r="E341" s="1" t="s">
        <v>700</v>
      </c>
      <c r="F341" s="2">
        <v>513</v>
      </c>
      <c r="G341" s="3">
        <v>74.7</v>
      </c>
      <c r="H341" s="4" t="str">
        <f>IF(AND(A341="Yes",C341="School"),COUNTIFS($A$6:A341,"Yes",$C$6:C341,"School"),"")</f>
        <v/>
      </c>
    </row>
    <row r="342" spans="1:8">
      <c r="A342" s="13"/>
      <c r="B342" s="1" t="s">
        <v>701</v>
      </c>
      <c r="C342" s="1" t="s">
        <v>40</v>
      </c>
      <c r="D342" s="1" t="s">
        <v>41</v>
      </c>
      <c r="E342" s="1" t="s">
        <v>702</v>
      </c>
      <c r="F342" s="2">
        <v>7455</v>
      </c>
      <c r="G342" s="3">
        <v>39</v>
      </c>
      <c r="H342" s="4" t="str">
        <f>IF(AND(A342="Yes",C342="School"),COUNTIFS($A$6:A342,"Yes",$C$6:C342,"School"),"")</f>
        <v/>
      </c>
    </row>
    <row r="343" spans="1:8">
      <c r="A343" s="13"/>
      <c r="B343" s="1" t="s">
        <v>701</v>
      </c>
      <c r="C343" s="1" t="s">
        <v>24</v>
      </c>
      <c r="D343" s="1" t="s">
        <v>703</v>
      </c>
      <c r="E343" s="1" t="s">
        <v>704</v>
      </c>
      <c r="F343" s="2">
        <v>79</v>
      </c>
      <c r="G343" s="3">
        <v>53.2</v>
      </c>
      <c r="H343" s="4" t="str">
        <f>IF(AND(A343="Yes",C343="School"),COUNTIFS($A$6:A343,"Yes",$C$6:C343,"School"),"")</f>
        <v/>
      </c>
    </row>
    <row r="344" spans="1:8">
      <c r="A344" s="13"/>
      <c r="B344" s="1" t="s">
        <v>701</v>
      </c>
      <c r="C344" s="1" t="s">
        <v>24</v>
      </c>
      <c r="D344" s="1" t="s">
        <v>705</v>
      </c>
      <c r="E344" s="1" t="s">
        <v>706</v>
      </c>
      <c r="F344" s="2">
        <v>351</v>
      </c>
      <c r="G344" s="3">
        <v>60.4</v>
      </c>
      <c r="H344" s="4" t="str">
        <f>IF(AND(A344="Yes",C344="School"),COUNTIFS($A$6:A344,"Yes",$C$6:C344,"School"),"")</f>
        <v/>
      </c>
    </row>
    <row r="345" spans="1:8">
      <c r="A345" s="13"/>
      <c r="B345" s="1" t="s">
        <v>701</v>
      </c>
      <c r="C345" s="1" t="s">
        <v>24</v>
      </c>
      <c r="D345" s="1" t="s">
        <v>707</v>
      </c>
      <c r="E345" s="1" t="s">
        <v>708</v>
      </c>
      <c r="F345" s="2">
        <v>255</v>
      </c>
      <c r="G345" s="3">
        <v>41.6</v>
      </c>
      <c r="H345" s="4" t="str">
        <f>IF(AND(A345="Yes",C345="School"),COUNTIFS($A$6:A345,"Yes",$C$6:C345,"School"),"")</f>
        <v/>
      </c>
    </row>
    <row r="346" spans="1:8">
      <c r="A346" s="13"/>
      <c r="B346" s="1" t="s">
        <v>701</v>
      </c>
      <c r="C346" s="1" t="s">
        <v>24</v>
      </c>
      <c r="D346" s="1" t="s">
        <v>709</v>
      </c>
      <c r="E346" s="1" t="s">
        <v>710</v>
      </c>
      <c r="F346" s="2">
        <v>391</v>
      </c>
      <c r="G346" s="3">
        <v>40.200000000000003</v>
      </c>
      <c r="H346" s="4" t="str">
        <f>IF(AND(A346="Yes",C346="School"),COUNTIFS($A$6:A346,"Yes",$C$6:C346,"School"),"")</f>
        <v/>
      </c>
    </row>
    <row r="347" spans="1:8">
      <c r="A347" s="13"/>
      <c r="B347" s="1" t="s">
        <v>701</v>
      </c>
      <c r="C347" s="1" t="s">
        <v>24</v>
      </c>
      <c r="D347" s="1" t="s">
        <v>711</v>
      </c>
      <c r="E347" s="1" t="s">
        <v>712</v>
      </c>
      <c r="F347" s="2">
        <v>12</v>
      </c>
      <c r="G347" s="3">
        <v>83.3</v>
      </c>
      <c r="H347" s="4" t="str">
        <f>IF(AND(A347="Yes",C347="School"),COUNTIFS($A$6:A347,"Yes",$C$6:C347,"School"),"")</f>
        <v/>
      </c>
    </row>
    <row r="348" spans="1:8">
      <c r="A348" s="13"/>
      <c r="B348" s="1" t="s">
        <v>701</v>
      </c>
      <c r="C348" s="1" t="s">
        <v>24</v>
      </c>
      <c r="D348" s="1" t="s">
        <v>713</v>
      </c>
      <c r="E348" s="1" t="s">
        <v>714</v>
      </c>
      <c r="F348" s="2">
        <v>698</v>
      </c>
      <c r="G348" s="3">
        <v>30.5</v>
      </c>
      <c r="H348" s="4" t="str">
        <f>IF(AND(A348="Yes",C348="School"),COUNTIFS($A$6:A348,"Yes",$C$6:C348,"School"),"")</f>
        <v/>
      </c>
    </row>
    <row r="349" spans="1:8">
      <c r="A349" s="13"/>
      <c r="B349" s="1" t="s">
        <v>701</v>
      </c>
      <c r="C349" s="1" t="s">
        <v>24</v>
      </c>
      <c r="D349" s="1" t="s">
        <v>715</v>
      </c>
      <c r="E349" s="1" t="s">
        <v>716</v>
      </c>
      <c r="F349" s="2">
        <v>929</v>
      </c>
      <c r="G349" s="3">
        <v>26.3</v>
      </c>
      <c r="H349" s="4" t="str">
        <f>IF(AND(A349="Yes",C349="School"),COUNTIFS($A$6:A349,"Yes",$C$6:C349,"School"),"")</f>
        <v/>
      </c>
    </row>
    <row r="350" spans="1:8">
      <c r="A350" s="13"/>
      <c r="B350" s="1" t="s">
        <v>701</v>
      </c>
      <c r="C350" s="1" t="s">
        <v>24</v>
      </c>
      <c r="D350" s="1" t="s">
        <v>717</v>
      </c>
      <c r="E350" s="1" t="s">
        <v>718</v>
      </c>
      <c r="F350" s="2">
        <v>254</v>
      </c>
      <c r="G350" s="3">
        <v>43.7</v>
      </c>
      <c r="H350" s="4" t="str">
        <f>IF(AND(A350="Yes",C350="School"),COUNTIFS($A$6:A350,"Yes",$C$6:C350,"School"),"")</f>
        <v/>
      </c>
    </row>
    <row r="351" spans="1:8">
      <c r="A351" s="13"/>
      <c r="B351" s="1" t="s">
        <v>701</v>
      </c>
      <c r="C351" s="1" t="s">
        <v>24</v>
      </c>
      <c r="D351" s="1" t="s">
        <v>719</v>
      </c>
      <c r="E351" s="1" t="s">
        <v>720</v>
      </c>
      <c r="F351" s="2">
        <v>491</v>
      </c>
      <c r="G351" s="3">
        <v>40.5</v>
      </c>
      <c r="H351" s="4" t="str">
        <f>IF(AND(A351="Yes",C351="School"),COUNTIFS($A$6:A351,"Yes",$C$6:C351,"School"),"")</f>
        <v/>
      </c>
    </row>
    <row r="352" spans="1:8">
      <c r="A352" s="13"/>
      <c r="B352" s="1" t="s">
        <v>701</v>
      </c>
      <c r="C352" s="1" t="s">
        <v>24</v>
      </c>
      <c r="D352" s="1" t="s">
        <v>721</v>
      </c>
      <c r="E352" s="1" t="s">
        <v>722</v>
      </c>
      <c r="F352" s="2">
        <v>82</v>
      </c>
      <c r="G352" s="3">
        <v>45.1</v>
      </c>
      <c r="H352" s="4" t="str">
        <f>IF(AND(A352="Yes",C352="School"),COUNTIFS($A$6:A352,"Yes",$C$6:C352,"School"),"")</f>
        <v/>
      </c>
    </row>
    <row r="353" spans="1:8">
      <c r="A353" s="13"/>
      <c r="B353" s="1" t="s">
        <v>701</v>
      </c>
      <c r="C353" s="1" t="s">
        <v>24</v>
      </c>
      <c r="D353" s="1" t="s">
        <v>723</v>
      </c>
      <c r="E353" s="1" t="s">
        <v>724</v>
      </c>
      <c r="F353" s="2">
        <v>491</v>
      </c>
      <c r="G353" s="3">
        <v>35.799999999999997</v>
      </c>
      <c r="H353" s="4" t="str">
        <f>IF(AND(A353="Yes",C353="School"),COUNTIFS($A$6:A353,"Yes",$C$6:C353,"School"),"")</f>
        <v/>
      </c>
    </row>
    <row r="354" spans="1:8">
      <c r="A354" s="13"/>
      <c r="B354" s="1" t="s">
        <v>701</v>
      </c>
      <c r="C354" s="1" t="s">
        <v>24</v>
      </c>
      <c r="D354" s="1" t="s">
        <v>725</v>
      </c>
      <c r="E354" s="1" t="s">
        <v>726</v>
      </c>
      <c r="F354" s="2">
        <v>475</v>
      </c>
      <c r="G354" s="3">
        <v>44.4</v>
      </c>
      <c r="H354" s="4" t="str">
        <f>IF(AND(A354="Yes",C354="School"),COUNTIFS($A$6:A354,"Yes",$C$6:C354,"School"),"")</f>
        <v/>
      </c>
    </row>
    <row r="355" spans="1:8">
      <c r="A355" s="13"/>
      <c r="B355" s="1" t="s">
        <v>701</v>
      </c>
      <c r="C355" s="1" t="s">
        <v>24</v>
      </c>
      <c r="D355" s="1" t="s">
        <v>727</v>
      </c>
      <c r="E355" s="1" t="s">
        <v>728</v>
      </c>
      <c r="F355" s="2">
        <v>242</v>
      </c>
      <c r="G355" s="3">
        <v>37.6</v>
      </c>
      <c r="H355" s="4" t="str">
        <f>IF(AND(A355="Yes",C355="School"),COUNTIFS($A$6:A355,"Yes",$C$6:C355,"School"),"")</f>
        <v/>
      </c>
    </row>
    <row r="356" spans="1:8">
      <c r="A356" s="13"/>
      <c r="B356" s="1" t="s">
        <v>701</v>
      </c>
      <c r="C356" s="1" t="s">
        <v>24</v>
      </c>
      <c r="D356" s="1" t="s">
        <v>729</v>
      </c>
      <c r="E356" s="1" t="s">
        <v>730</v>
      </c>
      <c r="F356" s="2">
        <v>603</v>
      </c>
      <c r="G356" s="3">
        <v>55.6</v>
      </c>
      <c r="H356" s="4" t="str">
        <f>IF(AND(A356="Yes",C356="School"),COUNTIFS($A$6:A356,"Yes",$C$6:C356,"School"),"")</f>
        <v/>
      </c>
    </row>
    <row r="357" spans="1:8">
      <c r="A357" s="13"/>
      <c r="B357" s="1" t="s">
        <v>701</v>
      </c>
      <c r="C357" s="1" t="s">
        <v>24</v>
      </c>
      <c r="D357" s="1" t="s">
        <v>731</v>
      </c>
      <c r="E357" s="1" t="s">
        <v>732</v>
      </c>
      <c r="F357" s="2">
        <v>340</v>
      </c>
      <c r="G357" s="3">
        <v>46.8</v>
      </c>
      <c r="H357" s="4" t="str">
        <f>IF(AND(A357="Yes",C357="School"),COUNTIFS($A$6:A357,"Yes",$C$6:C357,"School"),"")</f>
        <v/>
      </c>
    </row>
    <row r="358" spans="1:8">
      <c r="A358" s="13"/>
      <c r="B358" s="1" t="s">
        <v>701</v>
      </c>
      <c r="C358" s="1" t="s">
        <v>24</v>
      </c>
      <c r="D358" s="1" t="s">
        <v>733</v>
      </c>
      <c r="E358" s="1" t="s">
        <v>734</v>
      </c>
      <c r="F358" s="2">
        <v>989</v>
      </c>
      <c r="G358" s="3">
        <v>36.6</v>
      </c>
      <c r="H358" s="4" t="str">
        <f>IF(AND(A358="Yes",C358="School"),COUNTIFS($A$6:A358,"Yes",$C$6:C358,"School"),"")</f>
        <v/>
      </c>
    </row>
    <row r="359" spans="1:8">
      <c r="A359" s="13"/>
      <c r="B359" s="1" t="s">
        <v>701</v>
      </c>
      <c r="C359" s="1" t="s">
        <v>24</v>
      </c>
      <c r="D359" s="1" t="s">
        <v>735</v>
      </c>
      <c r="E359" s="1" t="s">
        <v>736</v>
      </c>
      <c r="F359" s="2">
        <v>773</v>
      </c>
      <c r="G359" s="3">
        <v>31.6</v>
      </c>
      <c r="H359" s="4" t="str">
        <f>IF(AND(A359="Yes",C359="School"),COUNTIFS($A$6:A359,"Yes",$C$6:C359,"School"),"")</f>
        <v/>
      </c>
    </row>
    <row r="360" spans="1:8">
      <c r="A360" s="13"/>
      <c r="B360" s="1" t="s">
        <v>737</v>
      </c>
      <c r="C360" s="1" t="s">
        <v>24</v>
      </c>
      <c r="D360" s="1" t="s">
        <v>737</v>
      </c>
      <c r="E360" s="1" t="s">
        <v>738</v>
      </c>
      <c r="F360" s="2">
        <v>695</v>
      </c>
      <c r="G360" s="3">
        <v>38.700000000000003</v>
      </c>
      <c r="H360" s="4" t="str">
        <f>IF(AND(A360="Yes",C360="School"),COUNTIFS($A$6:A360,"Yes",$C$6:C360,"School"),"")</f>
        <v/>
      </c>
    </row>
    <row r="361" spans="1:8">
      <c r="A361" s="13"/>
      <c r="B361" s="1" t="s">
        <v>739</v>
      </c>
      <c r="C361" s="1" t="s">
        <v>40</v>
      </c>
      <c r="D361" s="1" t="s">
        <v>41</v>
      </c>
      <c r="E361" s="1" t="s">
        <v>740</v>
      </c>
      <c r="F361" s="2">
        <v>1997</v>
      </c>
      <c r="G361" s="3">
        <v>67.2</v>
      </c>
      <c r="H361" s="4" t="str">
        <f>IF(AND(A361="Yes",C361="School"),COUNTIFS($A$6:A361,"Yes",$C$6:C361,"School"),"")</f>
        <v/>
      </c>
    </row>
    <row r="362" spans="1:8">
      <c r="A362" s="13"/>
      <c r="B362" s="1" t="s">
        <v>739</v>
      </c>
      <c r="C362" s="1" t="s">
        <v>24</v>
      </c>
      <c r="D362" s="1" t="s">
        <v>741</v>
      </c>
      <c r="E362" s="1" t="s">
        <v>742</v>
      </c>
      <c r="F362" s="2">
        <v>566</v>
      </c>
      <c r="G362" s="3">
        <v>61.7</v>
      </c>
      <c r="H362" s="4" t="str">
        <f>IF(AND(A362="Yes",C362="School"),COUNTIFS($A$6:A362,"Yes",$C$6:C362,"School"),"")</f>
        <v/>
      </c>
    </row>
    <row r="363" spans="1:8">
      <c r="A363" s="13"/>
      <c r="B363" s="1" t="s">
        <v>739</v>
      </c>
      <c r="C363" s="1" t="s">
        <v>24</v>
      </c>
      <c r="D363" s="1" t="s">
        <v>743</v>
      </c>
      <c r="E363" s="1" t="s">
        <v>744</v>
      </c>
      <c r="F363" s="2">
        <v>405</v>
      </c>
      <c r="G363" s="3">
        <v>68.099999999999994</v>
      </c>
      <c r="H363" s="4" t="str">
        <f>IF(AND(A363="Yes",C363="School"),COUNTIFS($A$6:A363,"Yes",$C$6:C363,"School"),"")</f>
        <v/>
      </c>
    </row>
    <row r="364" spans="1:8">
      <c r="A364" s="13"/>
      <c r="B364" s="1" t="s">
        <v>739</v>
      </c>
      <c r="C364" s="1" t="s">
        <v>24</v>
      </c>
      <c r="D364" s="1" t="s">
        <v>745</v>
      </c>
      <c r="E364" s="1" t="s">
        <v>746</v>
      </c>
      <c r="F364" s="2">
        <v>314</v>
      </c>
      <c r="G364" s="3">
        <v>64.599999999999994</v>
      </c>
      <c r="H364" s="4" t="str">
        <f>IF(AND(A364="Yes",C364="School"),COUNTIFS($A$6:A364,"Yes",$C$6:C364,"School"),"")</f>
        <v/>
      </c>
    </row>
    <row r="365" spans="1:8">
      <c r="A365" s="13"/>
      <c r="B365" s="1" t="s">
        <v>739</v>
      </c>
      <c r="C365" s="1" t="s">
        <v>24</v>
      </c>
      <c r="D365" s="1" t="s">
        <v>747</v>
      </c>
      <c r="E365" s="1" t="s">
        <v>748</v>
      </c>
      <c r="F365" s="2">
        <v>346</v>
      </c>
      <c r="G365" s="3">
        <v>73.7</v>
      </c>
      <c r="H365" s="4" t="str">
        <f>IF(AND(A365="Yes",C365="School"),COUNTIFS($A$6:A365,"Yes",$C$6:C365,"School"),"")</f>
        <v/>
      </c>
    </row>
    <row r="366" spans="1:8">
      <c r="A366" s="13"/>
      <c r="B366" s="1" t="s">
        <v>739</v>
      </c>
      <c r="C366" s="1" t="s">
        <v>24</v>
      </c>
      <c r="D366" s="1" t="s">
        <v>749</v>
      </c>
      <c r="E366" s="1" t="s">
        <v>750</v>
      </c>
      <c r="F366" s="2">
        <v>234</v>
      </c>
      <c r="G366" s="3">
        <v>73.5</v>
      </c>
      <c r="H366" s="4" t="str">
        <f>IF(AND(A366="Yes",C366="School"),COUNTIFS($A$6:A366,"Yes",$C$6:C366,"School"),"")</f>
        <v/>
      </c>
    </row>
    <row r="367" spans="1:8">
      <c r="A367" s="13"/>
      <c r="B367" s="1" t="s">
        <v>739</v>
      </c>
      <c r="C367" s="1" t="s">
        <v>24</v>
      </c>
      <c r="D367" s="1" t="s">
        <v>751</v>
      </c>
      <c r="E367" s="1" t="s">
        <v>752</v>
      </c>
      <c r="F367" s="2">
        <v>132</v>
      </c>
      <c r="G367" s="3">
        <v>65.2</v>
      </c>
      <c r="H367" s="4" t="str">
        <f>IF(AND(A367="Yes",C367="School"),COUNTIFS($A$6:A367,"Yes",$C$6:C367,"School"),"")</f>
        <v/>
      </c>
    </row>
    <row r="368" spans="1:8">
      <c r="A368" s="13"/>
      <c r="B368" s="1" t="s">
        <v>753</v>
      </c>
      <c r="C368" s="1" t="s">
        <v>24</v>
      </c>
      <c r="D368" s="1" t="s">
        <v>753</v>
      </c>
      <c r="E368" s="1" t="s">
        <v>754</v>
      </c>
      <c r="F368" s="2">
        <v>71</v>
      </c>
      <c r="G368" s="3">
        <v>32.4</v>
      </c>
      <c r="H368" s="4" t="str">
        <f>IF(AND(A368="Yes",C368="School"),COUNTIFS($A$6:A368,"Yes",$C$6:C368,"School"),"")</f>
        <v/>
      </c>
    </row>
    <row r="369" spans="1:8">
      <c r="A369" s="13"/>
      <c r="B369" s="1" t="s">
        <v>755</v>
      </c>
      <c r="C369" s="1" t="s">
        <v>40</v>
      </c>
      <c r="D369" s="1" t="s">
        <v>41</v>
      </c>
      <c r="E369" s="1" t="s">
        <v>756</v>
      </c>
      <c r="F369" s="2">
        <v>15856</v>
      </c>
      <c r="G369" s="3">
        <v>53.1</v>
      </c>
      <c r="H369" s="4" t="str">
        <f>IF(AND(A369="Yes",C369="School"),COUNTIFS($A$6:A369,"Yes",$C$6:C369,"School"),"")</f>
        <v/>
      </c>
    </row>
    <row r="370" spans="1:8">
      <c r="A370" s="13"/>
      <c r="B370" s="1" t="s">
        <v>755</v>
      </c>
      <c r="C370" s="1" t="s">
        <v>24</v>
      </c>
      <c r="D370" s="1" t="s">
        <v>757</v>
      </c>
      <c r="E370" s="1" t="s">
        <v>758</v>
      </c>
      <c r="F370" s="2">
        <v>746</v>
      </c>
      <c r="G370" s="3">
        <v>55</v>
      </c>
      <c r="H370" s="4" t="str">
        <f>IF(AND(A370="Yes",C370="School"),COUNTIFS($A$6:A370,"Yes",$C$6:C370,"School"),"")</f>
        <v/>
      </c>
    </row>
    <row r="371" spans="1:8">
      <c r="A371" s="13"/>
      <c r="B371" s="1" t="s">
        <v>755</v>
      </c>
      <c r="C371" s="1" t="s">
        <v>24</v>
      </c>
      <c r="D371" s="1" t="s">
        <v>759</v>
      </c>
      <c r="E371" s="1" t="s">
        <v>760</v>
      </c>
      <c r="F371" s="2">
        <v>921</v>
      </c>
      <c r="G371" s="3">
        <v>38.4</v>
      </c>
      <c r="H371" s="4" t="str">
        <f>IF(AND(A371="Yes",C371="School"),COUNTIFS($A$6:A371,"Yes",$C$6:C371,"School"),"")</f>
        <v/>
      </c>
    </row>
    <row r="372" spans="1:8">
      <c r="A372" s="13"/>
      <c r="B372" s="1" t="s">
        <v>755</v>
      </c>
      <c r="C372" s="1" t="s">
        <v>24</v>
      </c>
      <c r="D372" s="1" t="s">
        <v>761</v>
      </c>
      <c r="E372" s="1" t="s">
        <v>762</v>
      </c>
      <c r="F372" s="2">
        <v>283</v>
      </c>
      <c r="G372" s="3">
        <v>56.5</v>
      </c>
      <c r="H372" s="4" t="str">
        <f>IF(AND(A372="Yes",C372="School"),COUNTIFS($A$6:A372,"Yes",$C$6:C372,"School"),"")</f>
        <v/>
      </c>
    </row>
    <row r="373" spans="1:8">
      <c r="A373" s="13"/>
      <c r="B373" s="1" t="s">
        <v>755</v>
      </c>
      <c r="C373" s="1" t="s">
        <v>24</v>
      </c>
      <c r="D373" s="1" t="s">
        <v>763</v>
      </c>
      <c r="E373" s="1" t="s">
        <v>764</v>
      </c>
      <c r="F373" s="2">
        <v>499</v>
      </c>
      <c r="G373" s="3">
        <v>62.3</v>
      </c>
      <c r="H373" s="4" t="str">
        <f>IF(AND(A373="Yes",C373="School"),COUNTIFS($A$6:A373,"Yes",$C$6:C373,"School"),"")</f>
        <v/>
      </c>
    </row>
    <row r="374" spans="1:8">
      <c r="A374" s="13"/>
      <c r="B374" s="1" t="s">
        <v>755</v>
      </c>
      <c r="C374" s="1" t="s">
        <v>24</v>
      </c>
      <c r="D374" s="1" t="s">
        <v>765</v>
      </c>
      <c r="E374" s="1" t="s">
        <v>766</v>
      </c>
      <c r="F374" s="2">
        <v>765</v>
      </c>
      <c r="G374" s="3">
        <v>52.9</v>
      </c>
      <c r="H374" s="4" t="str">
        <f>IF(AND(A374="Yes",C374="School"),COUNTIFS($A$6:A374,"Yes",$C$6:C374,"School"),"")</f>
        <v/>
      </c>
    </row>
    <row r="375" spans="1:8">
      <c r="A375" s="13"/>
      <c r="B375" s="1" t="s">
        <v>755</v>
      </c>
      <c r="C375" s="1" t="s">
        <v>24</v>
      </c>
      <c r="D375" s="1" t="s">
        <v>767</v>
      </c>
      <c r="E375" s="1" t="s">
        <v>768</v>
      </c>
      <c r="F375" s="2">
        <v>508</v>
      </c>
      <c r="G375" s="3">
        <v>60.6</v>
      </c>
      <c r="H375" s="4" t="str">
        <f>IF(AND(A375="Yes",C375="School"),COUNTIFS($A$6:A375,"Yes",$C$6:C375,"School"),"")</f>
        <v/>
      </c>
    </row>
    <row r="376" spans="1:8">
      <c r="A376" s="13"/>
      <c r="B376" s="1" t="s">
        <v>755</v>
      </c>
      <c r="C376" s="1" t="s">
        <v>24</v>
      </c>
      <c r="D376" s="1" t="s">
        <v>769</v>
      </c>
      <c r="E376" s="1" t="s">
        <v>770</v>
      </c>
      <c r="F376" s="2">
        <v>11</v>
      </c>
      <c r="G376" s="3">
        <v>72.7</v>
      </c>
      <c r="H376" s="4" t="str">
        <f>IF(AND(A376="Yes",C376="School"),COUNTIFS($A$6:A376,"Yes",$C$6:C376,"School"),"")</f>
        <v/>
      </c>
    </row>
    <row r="377" spans="1:8">
      <c r="A377" s="13"/>
      <c r="B377" s="1" t="s">
        <v>755</v>
      </c>
      <c r="C377" s="1" t="s">
        <v>24</v>
      </c>
      <c r="D377" s="1" t="s">
        <v>771</v>
      </c>
      <c r="E377" s="1" t="s">
        <v>772</v>
      </c>
      <c r="F377" s="2">
        <v>368</v>
      </c>
      <c r="G377" s="3">
        <v>42.4</v>
      </c>
      <c r="H377" s="4" t="str">
        <f>IF(AND(A377="Yes",C377="School"),COUNTIFS($A$6:A377,"Yes",$C$6:C377,"School"),"")</f>
        <v/>
      </c>
    </row>
    <row r="378" spans="1:8">
      <c r="A378" s="13"/>
      <c r="B378" s="1" t="s">
        <v>755</v>
      </c>
      <c r="C378" s="1" t="s">
        <v>24</v>
      </c>
      <c r="D378" s="1" t="s">
        <v>773</v>
      </c>
      <c r="E378" s="1" t="s">
        <v>774</v>
      </c>
      <c r="F378" s="2">
        <v>350</v>
      </c>
      <c r="G378" s="3">
        <v>57.7</v>
      </c>
      <c r="H378" s="4" t="str">
        <f>IF(AND(A378="Yes",C378="School"),COUNTIFS($A$6:A378,"Yes",$C$6:C378,"School"),"")</f>
        <v/>
      </c>
    </row>
    <row r="379" spans="1:8">
      <c r="A379" s="13"/>
      <c r="B379" s="1" t="s">
        <v>755</v>
      </c>
      <c r="C379" s="1" t="s">
        <v>24</v>
      </c>
      <c r="D379" s="1" t="s">
        <v>775</v>
      </c>
      <c r="E379" s="1" t="s">
        <v>776</v>
      </c>
      <c r="F379" s="2">
        <v>458</v>
      </c>
      <c r="G379" s="3">
        <v>63.1</v>
      </c>
      <c r="H379" s="4" t="str">
        <f>IF(AND(A379="Yes",C379="School"),COUNTIFS($A$6:A379,"Yes",$C$6:C379,"School"),"")</f>
        <v/>
      </c>
    </row>
    <row r="380" spans="1:8">
      <c r="A380" s="13"/>
      <c r="B380" s="1" t="s">
        <v>755</v>
      </c>
      <c r="C380" s="1" t="s">
        <v>24</v>
      </c>
      <c r="D380" s="1" t="s">
        <v>777</v>
      </c>
      <c r="E380" s="1" t="s">
        <v>778</v>
      </c>
      <c r="F380" s="2">
        <v>551</v>
      </c>
      <c r="G380" s="3">
        <v>52.1</v>
      </c>
      <c r="H380" s="4" t="str">
        <f>IF(AND(A380="Yes",C380="School"),COUNTIFS($A$6:A380,"Yes",$C$6:C380,"School"),"")</f>
        <v/>
      </c>
    </row>
    <row r="381" spans="1:8">
      <c r="A381" s="13"/>
      <c r="B381" s="1" t="s">
        <v>755</v>
      </c>
      <c r="C381" s="1" t="s">
        <v>24</v>
      </c>
      <c r="D381" s="1" t="s">
        <v>779</v>
      </c>
      <c r="E381" s="1" t="s">
        <v>780</v>
      </c>
      <c r="F381" s="2">
        <v>849</v>
      </c>
      <c r="G381" s="3">
        <v>43.6</v>
      </c>
      <c r="H381" s="4" t="str">
        <f>IF(AND(A381="Yes",C381="School"),COUNTIFS($A$6:A381,"Yes",$C$6:C381,"School"),"")</f>
        <v/>
      </c>
    </row>
    <row r="382" spans="1:8">
      <c r="A382" s="13"/>
      <c r="B382" s="1" t="s">
        <v>755</v>
      </c>
      <c r="C382" s="1" t="s">
        <v>24</v>
      </c>
      <c r="D382" s="1" t="s">
        <v>781</v>
      </c>
      <c r="E382" s="1" t="s">
        <v>782</v>
      </c>
      <c r="F382" s="2">
        <v>621</v>
      </c>
      <c r="G382" s="3">
        <v>52.3</v>
      </c>
      <c r="H382" s="4" t="str">
        <f>IF(AND(A382="Yes",C382="School"),COUNTIFS($A$6:A382,"Yes",$C$6:C382,"School"),"")</f>
        <v/>
      </c>
    </row>
    <row r="383" spans="1:8">
      <c r="A383" s="13"/>
      <c r="B383" s="1" t="s">
        <v>755</v>
      </c>
      <c r="C383" s="1" t="s">
        <v>24</v>
      </c>
      <c r="D383" s="1" t="s">
        <v>783</v>
      </c>
      <c r="E383" s="1" t="s">
        <v>784</v>
      </c>
      <c r="F383" s="2">
        <v>479</v>
      </c>
      <c r="G383" s="3">
        <v>46.6</v>
      </c>
      <c r="H383" s="4" t="str">
        <f>IF(AND(A383="Yes",C383="School"),COUNTIFS($A$6:A383,"Yes",$C$6:C383,"School"),"")</f>
        <v/>
      </c>
    </row>
    <row r="384" spans="1:8">
      <c r="A384" s="13"/>
      <c r="B384" s="1" t="s">
        <v>755</v>
      </c>
      <c r="C384" s="1" t="s">
        <v>24</v>
      </c>
      <c r="D384" s="1" t="s">
        <v>785</v>
      </c>
      <c r="E384" s="1" t="s">
        <v>786</v>
      </c>
      <c r="F384" s="2">
        <v>486</v>
      </c>
      <c r="G384" s="3">
        <v>58.4</v>
      </c>
      <c r="H384" s="4" t="str">
        <f>IF(AND(A384="Yes",C384="School"),COUNTIFS($A$6:A384,"Yes",$C$6:C384,"School"),"")</f>
        <v/>
      </c>
    </row>
    <row r="385" spans="1:8">
      <c r="A385" s="13"/>
      <c r="B385" s="1" t="s">
        <v>755</v>
      </c>
      <c r="C385" s="1" t="s">
        <v>24</v>
      </c>
      <c r="D385" s="1" t="s">
        <v>787</v>
      </c>
      <c r="E385" s="1" t="s">
        <v>788</v>
      </c>
      <c r="F385" s="2">
        <v>584</v>
      </c>
      <c r="G385" s="3">
        <v>59.6</v>
      </c>
      <c r="H385" s="4" t="str">
        <f>IF(AND(A385="Yes",C385="School"),COUNTIFS($A$6:A385,"Yes",$C$6:C385,"School"),"")</f>
        <v/>
      </c>
    </row>
    <row r="386" spans="1:8">
      <c r="A386" s="13"/>
      <c r="B386" s="1" t="s">
        <v>755</v>
      </c>
      <c r="C386" s="1" t="s">
        <v>24</v>
      </c>
      <c r="D386" s="1" t="s">
        <v>789</v>
      </c>
      <c r="E386" s="1" t="s">
        <v>790</v>
      </c>
      <c r="F386" s="2">
        <v>836</v>
      </c>
      <c r="G386" s="3">
        <v>47</v>
      </c>
      <c r="H386" s="4" t="str">
        <f>IF(AND(A386="Yes",C386="School"),COUNTIFS($A$6:A386,"Yes",$C$6:C386,"School"),"")</f>
        <v/>
      </c>
    </row>
    <row r="387" spans="1:8">
      <c r="A387" s="13"/>
      <c r="B387" s="1" t="s">
        <v>755</v>
      </c>
      <c r="C387" s="1" t="s">
        <v>24</v>
      </c>
      <c r="D387" s="1" t="s">
        <v>791</v>
      </c>
      <c r="E387" s="1" t="s">
        <v>792</v>
      </c>
      <c r="F387" s="2">
        <v>445</v>
      </c>
      <c r="G387" s="3">
        <v>47</v>
      </c>
      <c r="H387" s="4" t="str">
        <f>IF(AND(A387="Yes",C387="School"),COUNTIFS($A$6:A387,"Yes",$C$6:C387,"School"),"")</f>
        <v/>
      </c>
    </row>
    <row r="388" spans="1:8">
      <c r="A388" s="13"/>
      <c r="B388" s="1" t="s">
        <v>755</v>
      </c>
      <c r="C388" s="1" t="s">
        <v>24</v>
      </c>
      <c r="D388" s="1" t="s">
        <v>793</v>
      </c>
      <c r="E388" s="1" t="s">
        <v>794</v>
      </c>
      <c r="F388" s="2">
        <v>469</v>
      </c>
      <c r="G388" s="3">
        <v>42</v>
      </c>
      <c r="H388" s="4" t="str">
        <f>IF(AND(A388="Yes",C388="School"),COUNTIFS($A$6:A388,"Yes",$C$6:C388,"School"),"")</f>
        <v/>
      </c>
    </row>
    <row r="389" spans="1:8">
      <c r="A389" s="13"/>
      <c r="B389" s="1" t="s">
        <v>755</v>
      </c>
      <c r="C389" s="1" t="s">
        <v>24</v>
      </c>
      <c r="D389" s="1" t="s">
        <v>205</v>
      </c>
      <c r="E389" s="1" t="s">
        <v>795</v>
      </c>
      <c r="F389" s="2">
        <v>685</v>
      </c>
      <c r="G389" s="3">
        <v>48.2</v>
      </c>
      <c r="H389" s="4" t="str">
        <f>IF(AND(A389="Yes",C389="School"),COUNTIFS($A$6:A389,"Yes",$C$6:C389,"School"),"")</f>
        <v/>
      </c>
    </row>
    <row r="390" spans="1:8">
      <c r="A390" s="13"/>
      <c r="B390" s="1" t="s">
        <v>755</v>
      </c>
      <c r="C390" s="1" t="s">
        <v>24</v>
      </c>
      <c r="D390" s="1" t="s">
        <v>796</v>
      </c>
      <c r="E390" s="1" t="s">
        <v>797</v>
      </c>
      <c r="F390" s="2">
        <v>520</v>
      </c>
      <c r="G390" s="3">
        <v>62.5</v>
      </c>
      <c r="H390" s="4" t="str">
        <f>IF(AND(A390="Yes",C390="School"),COUNTIFS($A$6:A390,"Yes",$C$6:C390,"School"),"")</f>
        <v/>
      </c>
    </row>
    <row r="391" spans="1:8">
      <c r="A391" s="13"/>
      <c r="B391" s="1" t="s">
        <v>755</v>
      </c>
      <c r="C391" s="1" t="s">
        <v>24</v>
      </c>
      <c r="D391" s="1" t="s">
        <v>798</v>
      </c>
      <c r="E391" s="1" t="s">
        <v>799</v>
      </c>
      <c r="F391" s="2">
        <v>434</v>
      </c>
      <c r="G391" s="3">
        <v>59.9</v>
      </c>
      <c r="H391" s="4" t="str">
        <f>IF(AND(A391="Yes",C391="School"),COUNTIFS($A$6:A391,"Yes",$C$6:C391,"School"),"")</f>
        <v/>
      </c>
    </row>
    <row r="392" spans="1:8">
      <c r="A392" s="13"/>
      <c r="B392" s="1" t="s">
        <v>755</v>
      </c>
      <c r="C392" s="1" t="s">
        <v>24</v>
      </c>
      <c r="D392" s="1" t="s">
        <v>800</v>
      </c>
      <c r="E392" s="1" t="s">
        <v>801</v>
      </c>
      <c r="F392" s="2">
        <v>711</v>
      </c>
      <c r="G392" s="3">
        <v>73</v>
      </c>
      <c r="H392" s="4" t="str">
        <f>IF(AND(A392="Yes",C392="School"),COUNTIFS($A$6:A392,"Yes",$C$6:C392,"School"),"")</f>
        <v/>
      </c>
    </row>
    <row r="393" spans="1:8">
      <c r="A393" s="13"/>
      <c r="B393" s="1" t="s">
        <v>755</v>
      </c>
      <c r="C393" s="1" t="s">
        <v>24</v>
      </c>
      <c r="D393" s="1" t="s">
        <v>802</v>
      </c>
      <c r="E393" s="1" t="s">
        <v>803</v>
      </c>
      <c r="F393" s="2">
        <v>1189</v>
      </c>
      <c r="G393" s="3">
        <v>51</v>
      </c>
      <c r="H393" s="4" t="str">
        <f>IF(AND(A393="Yes",C393="School"),COUNTIFS($A$6:A393,"Yes",$C$6:C393,"School"),"")</f>
        <v/>
      </c>
    </row>
    <row r="394" spans="1:8">
      <c r="A394" s="13"/>
      <c r="B394" s="1" t="s">
        <v>755</v>
      </c>
      <c r="C394" s="1" t="s">
        <v>24</v>
      </c>
      <c r="D394" s="1" t="s">
        <v>804</v>
      </c>
      <c r="E394" s="1" t="s">
        <v>805</v>
      </c>
      <c r="F394" s="2">
        <v>660</v>
      </c>
      <c r="G394" s="3">
        <v>40.9</v>
      </c>
      <c r="H394" s="4" t="str">
        <f>IF(AND(A394="Yes",C394="School"),COUNTIFS($A$6:A394,"Yes",$C$6:C394,"School"),"")</f>
        <v/>
      </c>
    </row>
    <row r="395" spans="1:8">
      <c r="A395" s="13"/>
      <c r="B395" s="1" t="s">
        <v>755</v>
      </c>
      <c r="C395" s="1" t="s">
        <v>24</v>
      </c>
      <c r="D395" s="1" t="s">
        <v>806</v>
      </c>
      <c r="E395" s="1" t="s">
        <v>807</v>
      </c>
      <c r="F395" s="2">
        <v>530</v>
      </c>
      <c r="G395" s="3">
        <v>57.7</v>
      </c>
      <c r="H395" s="4" t="str">
        <f>IF(AND(A395="Yes",C395="School"),COUNTIFS($A$6:A395,"Yes",$C$6:C395,"School"),"")</f>
        <v/>
      </c>
    </row>
    <row r="396" spans="1:8">
      <c r="A396" s="13"/>
      <c r="B396" s="1" t="s">
        <v>755</v>
      </c>
      <c r="C396" s="1" t="s">
        <v>24</v>
      </c>
      <c r="D396" s="1" t="s">
        <v>808</v>
      </c>
      <c r="E396" s="1" t="s">
        <v>809</v>
      </c>
      <c r="F396" s="2">
        <v>541</v>
      </c>
      <c r="G396" s="3">
        <v>57.7</v>
      </c>
      <c r="H396" s="4" t="str">
        <f>IF(AND(A396="Yes",C396="School"),COUNTIFS($A$6:A396,"Yes",$C$6:C396,"School"),"")</f>
        <v/>
      </c>
    </row>
    <row r="397" spans="1:8">
      <c r="A397" s="13"/>
      <c r="B397" s="1" t="s">
        <v>755</v>
      </c>
      <c r="C397" s="1" t="s">
        <v>24</v>
      </c>
      <c r="D397" s="1" t="s">
        <v>810</v>
      </c>
      <c r="E397" s="1" t="s">
        <v>811</v>
      </c>
      <c r="F397" s="2">
        <v>357</v>
      </c>
      <c r="G397" s="3">
        <v>68.599999999999994</v>
      </c>
      <c r="H397" s="4" t="str">
        <f>IF(AND(A397="Yes",C397="School"),COUNTIFS($A$6:A397,"Yes",$C$6:C397,"School"),"")</f>
        <v/>
      </c>
    </row>
    <row r="398" spans="1:8">
      <c r="A398" s="13"/>
      <c r="B398" s="1" t="s">
        <v>812</v>
      </c>
      <c r="C398" s="1" t="s">
        <v>24</v>
      </c>
      <c r="D398" s="1" t="s">
        <v>812</v>
      </c>
      <c r="E398" s="1" t="s">
        <v>813</v>
      </c>
      <c r="F398" s="2">
        <v>605</v>
      </c>
      <c r="G398" s="3">
        <v>20.3</v>
      </c>
      <c r="H398" s="4" t="str">
        <f>IF(AND(A398="Yes",C398="School"),COUNTIFS($A$6:A398,"Yes",$C$6:C398,"School"),"")</f>
        <v/>
      </c>
    </row>
    <row r="399" spans="1:8">
      <c r="A399" s="13"/>
      <c r="B399" s="1" t="s">
        <v>814</v>
      </c>
      <c r="C399" s="1" t="s">
        <v>24</v>
      </c>
      <c r="D399" s="1" t="s">
        <v>814</v>
      </c>
      <c r="E399" s="1" t="s">
        <v>815</v>
      </c>
      <c r="F399" s="2">
        <v>564</v>
      </c>
      <c r="G399" s="3">
        <v>35.299999999999997</v>
      </c>
      <c r="H399" s="4" t="str">
        <f>IF(AND(A399="Yes",C399="School"),COUNTIFS($A$6:A399,"Yes",$C$6:C399,"School"),"")</f>
        <v/>
      </c>
    </row>
    <row r="400" spans="1:8">
      <c r="A400" s="13"/>
      <c r="B400" s="1" t="s">
        <v>816</v>
      </c>
      <c r="C400" s="1" t="s">
        <v>24</v>
      </c>
      <c r="D400" s="1" t="s">
        <v>816</v>
      </c>
      <c r="E400" s="1" t="s">
        <v>817</v>
      </c>
      <c r="F400" s="2">
        <v>333</v>
      </c>
      <c r="G400" s="3">
        <v>70.3</v>
      </c>
      <c r="H400" s="4" t="str">
        <f>IF(AND(A400="Yes",C400="School"),COUNTIFS($A$6:A400,"Yes",$C$6:C400,"School"),"")</f>
        <v/>
      </c>
    </row>
    <row r="401" spans="1:8">
      <c r="A401" s="13"/>
      <c r="B401" s="1" t="s">
        <v>818</v>
      </c>
      <c r="C401" s="1" t="s">
        <v>40</v>
      </c>
      <c r="D401" s="1" t="s">
        <v>41</v>
      </c>
      <c r="E401" s="1" t="s">
        <v>819</v>
      </c>
      <c r="F401" s="2">
        <v>11023</v>
      </c>
      <c r="G401" s="3">
        <v>30.6</v>
      </c>
      <c r="H401" s="4" t="str">
        <f>IF(AND(A401="Yes",C401="School"),COUNTIFS($A$6:A401,"Yes",$C$6:C401,"School"),"")</f>
        <v/>
      </c>
    </row>
    <row r="402" spans="1:8">
      <c r="A402" s="13"/>
      <c r="B402" s="1" t="s">
        <v>818</v>
      </c>
      <c r="C402" s="1" t="s">
        <v>24</v>
      </c>
      <c r="D402" s="1" t="s">
        <v>820</v>
      </c>
      <c r="E402" s="1" t="s">
        <v>821</v>
      </c>
      <c r="F402" s="2">
        <v>486</v>
      </c>
      <c r="G402" s="3">
        <v>34.200000000000003</v>
      </c>
      <c r="H402" s="4" t="str">
        <f>IF(AND(A402="Yes",C402="School"),COUNTIFS($A$6:A402,"Yes",$C$6:C402,"School"),"")</f>
        <v/>
      </c>
    </row>
    <row r="403" spans="1:8">
      <c r="A403" s="13"/>
      <c r="B403" s="1" t="s">
        <v>818</v>
      </c>
      <c r="C403" s="1" t="s">
        <v>24</v>
      </c>
      <c r="D403" s="1" t="s">
        <v>822</v>
      </c>
      <c r="E403" s="1" t="s">
        <v>823</v>
      </c>
      <c r="F403" s="2">
        <v>855</v>
      </c>
      <c r="G403" s="3">
        <v>30.1</v>
      </c>
      <c r="H403" s="4" t="str">
        <f>IF(AND(A403="Yes",C403="School"),COUNTIFS($A$6:A403,"Yes",$C$6:C403,"School"),"")</f>
        <v/>
      </c>
    </row>
    <row r="404" spans="1:8">
      <c r="A404" s="13"/>
      <c r="B404" s="1" t="s">
        <v>818</v>
      </c>
      <c r="C404" s="1" t="s">
        <v>24</v>
      </c>
      <c r="D404" s="1" t="s">
        <v>824</v>
      </c>
      <c r="E404" s="1" t="s">
        <v>825</v>
      </c>
      <c r="F404" s="2">
        <v>1589</v>
      </c>
      <c r="G404" s="3">
        <v>23.3</v>
      </c>
      <c r="H404" s="4" t="str">
        <f>IF(AND(A404="Yes",C404="School"),COUNTIFS($A$6:A404,"Yes",$C$6:C404,"School"),"")</f>
        <v/>
      </c>
    </row>
    <row r="405" spans="1:8">
      <c r="A405" s="13"/>
      <c r="B405" s="1" t="s">
        <v>818</v>
      </c>
      <c r="C405" s="1" t="s">
        <v>24</v>
      </c>
      <c r="D405" s="1" t="s">
        <v>826</v>
      </c>
      <c r="E405" s="1" t="s">
        <v>827</v>
      </c>
      <c r="F405" s="2">
        <v>571</v>
      </c>
      <c r="G405" s="3">
        <v>35.200000000000003</v>
      </c>
      <c r="H405" s="4" t="str">
        <f>IF(AND(A405="Yes",C405="School"),COUNTIFS($A$6:A405,"Yes",$C$6:C405,"School"),"")</f>
        <v/>
      </c>
    </row>
    <row r="406" spans="1:8">
      <c r="A406" s="13"/>
      <c r="B406" s="1" t="s">
        <v>818</v>
      </c>
      <c r="C406" s="1" t="s">
        <v>24</v>
      </c>
      <c r="D406" s="1" t="s">
        <v>828</v>
      </c>
      <c r="E406" s="1" t="s">
        <v>829</v>
      </c>
      <c r="F406" s="2">
        <v>1389</v>
      </c>
      <c r="G406" s="3">
        <v>22.8</v>
      </c>
      <c r="H406" s="4" t="str">
        <f>IF(AND(A406="Yes",C406="School"),COUNTIFS($A$6:A406,"Yes",$C$6:C406,"School"),"")</f>
        <v/>
      </c>
    </row>
    <row r="407" spans="1:8">
      <c r="A407" s="13"/>
      <c r="B407" s="1" t="s">
        <v>818</v>
      </c>
      <c r="C407" s="1" t="s">
        <v>24</v>
      </c>
      <c r="D407" s="1" t="s">
        <v>830</v>
      </c>
      <c r="E407" s="1" t="s">
        <v>831</v>
      </c>
      <c r="F407" s="2">
        <v>387</v>
      </c>
      <c r="G407" s="3">
        <v>34.6</v>
      </c>
      <c r="H407" s="4" t="str">
        <f>IF(AND(A407="Yes",C407="School"),COUNTIFS($A$6:A407,"Yes",$C$6:C407,"School"),"")</f>
        <v/>
      </c>
    </row>
    <row r="408" spans="1:8">
      <c r="A408" s="13"/>
      <c r="B408" s="1" t="s">
        <v>818</v>
      </c>
      <c r="C408" s="1" t="s">
        <v>24</v>
      </c>
      <c r="D408" s="1" t="s">
        <v>832</v>
      </c>
      <c r="E408" s="1" t="s">
        <v>833</v>
      </c>
      <c r="F408" s="2">
        <v>336</v>
      </c>
      <c r="G408" s="3">
        <v>27.7</v>
      </c>
      <c r="H408" s="4" t="str">
        <f>IF(AND(A408="Yes",C408="School"),COUNTIFS($A$6:A408,"Yes",$C$6:C408,"School"),"")</f>
        <v/>
      </c>
    </row>
    <row r="409" spans="1:8">
      <c r="A409" s="13"/>
      <c r="B409" s="1" t="s">
        <v>818</v>
      </c>
      <c r="C409" s="1" t="s">
        <v>24</v>
      </c>
      <c r="D409" s="1" t="s">
        <v>834</v>
      </c>
      <c r="E409" s="1" t="s">
        <v>835</v>
      </c>
      <c r="F409" s="2">
        <v>524</v>
      </c>
      <c r="G409" s="3">
        <v>39.9</v>
      </c>
      <c r="H409" s="4" t="str">
        <f>IF(AND(A409="Yes",C409="School"),COUNTIFS($A$6:A409,"Yes",$C$6:C409,"School"),"")</f>
        <v/>
      </c>
    </row>
    <row r="410" spans="1:8">
      <c r="A410" s="13"/>
      <c r="B410" s="1" t="s">
        <v>818</v>
      </c>
      <c r="C410" s="1" t="s">
        <v>24</v>
      </c>
      <c r="D410" s="1" t="s">
        <v>836</v>
      </c>
      <c r="E410" s="1" t="s">
        <v>837</v>
      </c>
      <c r="F410" s="2">
        <v>389</v>
      </c>
      <c r="G410" s="3">
        <v>18.5</v>
      </c>
      <c r="H410" s="4" t="str">
        <f>IF(AND(A410="Yes",C410="School"),COUNTIFS($A$6:A410,"Yes",$C$6:C410,"School"),"")</f>
        <v/>
      </c>
    </row>
    <row r="411" spans="1:8">
      <c r="A411" s="13"/>
      <c r="B411" s="1" t="s">
        <v>818</v>
      </c>
      <c r="C411" s="1" t="s">
        <v>24</v>
      </c>
      <c r="D411" s="1" t="s">
        <v>838</v>
      </c>
      <c r="E411" s="1" t="s">
        <v>839</v>
      </c>
      <c r="F411" s="2">
        <v>494</v>
      </c>
      <c r="G411" s="3">
        <v>33.799999999999997</v>
      </c>
      <c r="H411" s="4" t="str">
        <f>IF(AND(A411="Yes",C411="School"),COUNTIFS($A$6:A411,"Yes",$C$6:C411,"School"),"")</f>
        <v/>
      </c>
    </row>
    <row r="412" spans="1:8">
      <c r="A412" s="13"/>
      <c r="B412" s="1" t="s">
        <v>818</v>
      </c>
      <c r="C412" s="1" t="s">
        <v>24</v>
      </c>
      <c r="D412" s="1" t="s">
        <v>840</v>
      </c>
      <c r="E412" s="1" t="s">
        <v>841</v>
      </c>
      <c r="F412" s="2">
        <v>694</v>
      </c>
      <c r="G412" s="3">
        <v>32.700000000000003</v>
      </c>
      <c r="H412" s="4" t="str">
        <f>IF(AND(A412="Yes",C412="School"),COUNTIFS($A$6:A412,"Yes",$C$6:C412,"School"),"")</f>
        <v/>
      </c>
    </row>
    <row r="413" spans="1:8">
      <c r="A413" s="13"/>
      <c r="B413" s="1" t="s">
        <v>818</v>
      </c>
      <c r="C413" s="1" t="s">
        <v>24</v>
      </c>
      <c r="D413" s="1" t="s">
        <v>842</v>
      </c>
      <c r="E413" s="1" t="s">
        <v>843</v>
      </c>
      <c r="F413" s="2">
        <v>373</v>
      </c>
      <c r="G413" s="3">
        <v>27.3</v>
      </c>
      <c r="H413" s="4" t="str">
        <f>IF(AND(A413="Yes",C413="School"),COUNTIFS($A$6:A413,"Yes",$C$6:C413,"School"),"")</f>
        <v/>
      </c>
    </row>
    <row r="414" spans="1:8">
      <c r="A414" s="13"/>
      <c r="B414" s="1" t="s">
        <v>818</v>
      </c>
      <c r="C414" s="1" t="s">
        <v>24</v>
      </c>
      <c r="D414" s="1" t="s">
        <v>844</v>
      </c>
      <c r="E414" s="1" t="s">
        <v>845</v>
      </c>
      <c r="F414" s="2">
        <v>376</v>
      </c>
      <c r="G414" s="3">
        <v>53.2</v>
      </c>
      <c r="H414" s="4" t="str">
        <f>IF(AND(A414="Yes",C414="School"),COUNTIFS($A$6:A414,"Yes",$C$6:C414,"School"),"")</f>
        <v/>
      </c>
    </row>
    <row r="415" spans="1:8">
      <c r="A415" s="13"/>
      <c r="B415" s="1" t="s">
        <v>818</v>
      </c>
      <c r="C415" s="1" t="s">
        <v>24</v>
      </c>
      <c r="D415" s="1" t="s">
        <v>846</v>
      </c>
      <c r="E415" s="1" t="s">
        <v>847</v>
      </c>
      <c r="F415" s="2">
        <v>626</v>
      </c>
      <c r="G415" s="3">
        <v>31.5</v>
      </c>
      <c r="H415" s="4" t="str">
        <f>IF(AND(A415="Yes",C415="School"),COUNTIFS($A$6:A415,"Yes",$C$6:C415,"School"),"")</f>
        <v/>
      </c>
    </row>
    <row r="416" spans="1:8">
      <c r="A416" s="13"/>
      <c r="B416" s="1" t="s">
        <v>818</v>
      </c>
      <c r="C416" s="1" t="s">
        <v>24</v>
      </c>
      <c r="D416" s="1" t="s">
        <v>848</v>
      </c>
      <c r="E416" s="1" t="s">
        <v>849</v>
      </c>
      <c r="F416" s="2">
        <v>60</v>
      </c>
      <c r="G416" s="3">
        <v>71.7</v>
      </c>
      <c r="H416" s="4" t="str">
        <f>IF(AND(A416="Yes",C416="School"),COUNTIFS($A$6:A416,"Yes",$C$6:C416,"School"),"")</f>
        <v/>
      </c>
    </row>
    <row r="417" spans="1:8">
      <c r="A417" s="13"/>
      <c r="B417" s="1" t="s">
        <v>818</v>
      </c>
      <c r="C417" s="1" t="s">
        <v>24</v>
      </c>
      <c r="D417" s="1" t="s">
        <v>850</v>
      </c>
      <c r="E417" s="1" t="s">
        <v>851</v>
      </c>
      <c r="F417" s="2">
        <v>391</v>
      </c>
      <c r="G417" s="3">
        <v>53.7</v>
      </c>
      <c r="H417" s="4" t="str">
        <f>IF(AND(A417="Yes",C417="School"),COUNTIFS($A$6:A417,"Yes",$C$6:C417,"School"),"")</f>
        <v/>
      </c>
    </row>
    <row r="418" spans="1:8">
      <c r="A418" s="13"/>
      <c r="B418" s="1" t="s">
        <v>818</v>
      </c>
      <c r="C418" s="1" t="s">
        <v>24</v>
      </c>
      <c r="D418" s="1" t="s">
        <v>852</v>
      </c>
      <c r="E418" s="1" t="s">
        <v>853</v>
      </c>
      <c r="F418" s="2">
        <v>376</v>
      </c>
      <c r="G418" s="3">
        <v>29.3</v>
      </c>
      <c r="H418" s="4" t="str">
        <f>IF(AND(A418="Yes",C418="School"),COUNTIFS($A$6:A418,"Yes",$C$6:C418,"School"),"")</f>
        <v/>
      </c>
    </row>
    <row r="419" spans="1:8">
      <c r="A419" s="13"/>
      <c r="B419" s="1" t="s">
        <v>818</v>
      </c>
      <c r="C419" s="1" t="s">
        <v>24</v>
      </c>
      <c r="D419" s="1" t="s">
        <v>854</v>
      </c>
      <c r="E419" s="1" t="s">
        <v>855</v>
      </c>
      <c r="F419" s="2">
        <v>403</v>
      </c>
      <c r="G419" s="3">
        <v>32.5</v>
      </c>
      <c r="H419" s="4" t="str">
        <f>IF(AND(A419="Yes",C419="School"),COUNTIFS($A$6:A419,"Yes",$C$6:C419,"School"),"")</f>
        <v/>
      </c>
    </row>
    <row r="420" spans="1:8">
      <c r="A420" s="13"/>
      <c r="B420" s="1" t="s">
        <v>818</v>
      </c>
      <c r="C420" s="1" t="s">
        <v>24</v>
      </c>
      <c r="D420" s="1" t="s">
        <v>856</v>
      </c>
      <c r="E420" s="1" t="s">
        <v>857</v>
      </c>
      <c r="F420" s="2">
        <v>704</v>
      </c>
      <c r="G420" s="3">
        <v>24.1</v>
      </c>
      <c r="H420" s="4" t="str">
        <f>IF(AND(A420="Yes",C420="School"),COUNTIFS($A$6:A420,"Yes",$C$6:C420,"School"),"")</f>
        <v/>
      </c>
    </row>
    <row r="421" spans="1:8">
      <c r="A421" s="13"/>
      <c r="B421" s="1" t="s">
        <v>858</v>
      </c>
      <c r="C421" s="1" t="s">
        <v>24</v>
      </c>
      <c r="D421" s="1" t="s">
        <v>858</v>
      </c>
      <c r="E421" s="1" t="s">
        <v>859</v>
      </c>
      <c r="F421" s="2">
        <v>853</v>
      </c>
      <c r="G421" s="3">
        <v>64.8</v>
      </c>
      <c r="H421" s="4" t="str">
        <f>IF(AND(A421="Yes",C421="School"),COUNTIFS($A$6:A421,"Yes",$C$6:C421,"School"),"")</f>
        <v/>
      </c>
    </row>
    <row r="422" spans="1:8">
      <c r="A422" s="13"/>
      <c r="B422" s="1" t="s">
        <v>860</v>
      </c>
      <c r="C422" s="1" t="s">
        <v>24</v>
      </c>
      <c r="D422" s="1" t="s">
        <v>860</v>
      </c>
      <c r="E422" s="1" t="s">
        <v>861</v>
      </c>
      <c r="F422" s="2">
        <v>150</v>
      </c>
      <c r="G422" s="3">
        <v>44.7</v>
      </c>
      <c r="H422" s="4" t="str">
        <f>IF(AND(A422="Yes",C422="School"),COUNTIFS($A$6:A422,"Yes",$C$6:C422,"School"),"")</f>
        <v/>
      </c>
    </row>
    <row r="423" spans="1:8">
      <c r="A423" s="13"/>
      <c r="B423" s="1" t="s">
        <v>862</v>
      </c>
      <c r="C423" s="1" t="s">
        <v>40</v>
      </c>
      <c r="D423" s="1" t="s">
        <v>41</v>
      </c>
      <c r="E423" s="1" t="s">
        <v>863</v>
      </c>
      <c r="F423" s="2">
        <v>142378</v>
      </c>
      <c r="G423" s="3">
        <v>45.3</v>
      </c>
      <c r="H423" s="4" t="str">
        <f>IF(AND(A423="Yes",C423="School"),COUNTIFS($A$6:A423,"Yes",$C$6:C423,"School"),"")</f>
        <v/>
      </c>
    </row>
    <row r="424" spans="1:8">
      <c r="A424" s="13"/>
      <c r="B424" s="1" t="s">
        <v>862</v>
      </c>
      <c r="C424" s="1" t="s">
        <v>24</v>
      </c>
      <c r="D424" s="1" t="s">
        <v>864</v>
      </c>
      <c r="E424" s="1" t="s">
        <v>865</v>
      </c>
      <c r="F424" s="2">
        <v>660</v>
      </c>
      <c r="G424" s="3">
        <v>63.3</v>
      </c>
      <c r="H424" s="4" t="str">
        <f>IF(AND(A424="Yes",C424="School"),COUNTIFS($A$6:A424,"Yes",$C$6:C424,"School"),"")</f>
        <v/>
      </c>
    </row>
    <row r="425" spans="1:8">
      <c r="A425" s="13"/>
      <c r="B425" s="1" t="s">
        <v>862</v>
      </c>
      <c r="C425" s="1" t="s">
        <v>24</v>
      </c>
      <c r="D425" s="1" t="s">
        <v>866</v>
      </c>
      <c r="E425" s="1" t="s">
        <v>867</v>
      </c>
      <c r="F425" s="2">
        <v>936</v>
      </c>
      <c r="G425" s="3">
        <v>54.5</v>
      </c>
      <c r="H425" s="4" t="str">
        <f>IF(AND(A425="Yes",C425="School"),COUNTIFS($A$6:A425,"Yes",$C$6:C425,"School"),"")</f>
        <v/>
      </c>
    </row>
    <row r="426" spans="1:8">
      <c r="A426" s="13"/>
      <c r="B426" s="1" t="s">
        <v>862</v>
      </c>
      <c r="C426" s="1" t="s">
        <v>24</v>
      </c>
      <c r="D426" s="1" t="s">
        <v>868</v>
      </c>
      <c r="E426" s="1" t="s">
        <v>869</v>
      </c>
      <c r="F426" s="2">
        <v>1081</v>
      </c>
      <c r="G426" s="3">
        <v>54</v>
      </c>
      <c r="H426" s="4" t="str">
        <f>IF(AND(A426="Yes",C426="School"),COUNTIFS($A$6:A426,"Yes",$C$6:C426,"School"),"")</f>
        <v/>
      </c>
    </row>
    <row r="427" spans="1:8">
      <c r="A427" s="13"/>
      <c r="B427" s="1" t="s">
        <v>862</v>
      </c>
      <c r="C427" s="1" t="s">
        <v>24</v>
      </c>
      <c r="D427" s="1" t="s">
        <v>870</v>
      </c>
      <c r="E427" s="1" t="s">
        <v>871</v>
      </c>
      <c r="F427" s="2">
        <v>284</v>
      </c>
      <c r="G427" s="3">
        <v>68.3</v>
      </c>
      <c r="H427" s="4" t="str">
        <f>IF(AND(A427="Yes",C427="School"),COUNTIFS($A$6:A427,"Yes",$C$6:C427,"School"),"")</f>
        <v/>
      </c>
    </row>
    <row r="428" spans="1:8">
      <c r="A428" s="13"/>
      <c r="B428" s="1" t="s">
        <v>862</v>
      </c>
      <c r="C428" s="1" t="s">
        <v>24</v>
      </c>
      <c r="D428" s="1" t="s">
        <v>872</v>
      </c>
      <c r="E428" s="1" t="s">
        <v>873</v>
      </c>
      <c r="F428" s="2">
        <v>2752</v>
      </c>
      <c r="G428" s="3">
        <v>14.4</v>
      </c>
      <c r="H428" s="4" t="str">
        <f>IF(AND(A428="Yes",C428="School"),COUNTIFS($A$6:A428,"Yes",$C$6:C428,"School"),"")</f>
        <v/>
      </c>
    </row>
    <row r="429" spans="1:8">
      <c r="A429" s="13"/>
      <c r="B429" s="1" t="s">
        <v>862</v>
      </c>
      <c r="C429" s="1" t="s">
        <v>24</v>
      </c>
      <c r="D429" s="1" t="s">
        <v>874</v>
      </c>
      <c r="E429" s="1" t="s">
        <v>875</v>
      </c>
      <c r="F429" s="2">
        <v>355</v>
      </c>
      <c r="G429" s="3">
        <v>70.7</v>
      </c>
      <c r="H429" s="4" t="str">
        <f>IF(AND(A429="Yes",C429="School"),COUNTIFS($A$6:A429,"Yes",$C$6:C429,"School"),"")</f>
        <v/>
      </c>
    </row>
    <row r="430" spans="1:8">
      <c r="A430" s="13"/>
      <c r="B430" s="1" t="s">
        <v>862</v>
      </c>
      <c r="C430" s="1" t="s">
        <v>24</v>
      </c>
      <c r="D430" s="1" t="s">
        <v>876</v>
      </c>
      <c r="E430" s="1" t="s">
        <v>877</v>
      </c>
      <c r="F430" s="2">
        <v>1709</v>
      </c>
      <c r="G430" s="3">
        <v>21.5</v>
      </c>
      <c r="H430" s="4" t="str">
        <f>IF(AND(A430="Yes",C430="School"),COUNTIFS($A$6:A430,"Yes",$C$6:C430,"School"),"")</f>
        <v/>
      </c>
    </row>
    <row r="431" spans="1:8">
      <c r="A431" s="13"/>
      <c r="B431" s="1" t="s">
        <v>862</v>
      </c>
      <c r="C431" s="1" t="s">
        <v>24</v>
      </c>
      <c r="D431" s="1" t="s">
        <v>878</v>
      </c>
      <c r="E431" s="1" t="s">
        <v>879</v>
      </c>
      <c r="F431" s="2">
        <v>778</v>
      </c>
      <c r="G431" s="3">
        <v>32</v>
      </c>
      <c r="H431" s="4" t="str">
        <f>IF(AND(A431="Yes",C431="School"),COUNTIFS($A$6:A431,"Yes",$C$6:C431,"School"),"")</f>
        <v/>
      </c>
    </row>
    <row r="432" spans="1:8">
      <c r="A432" s="13"/>
      <c r="B432" s="1" t="s">
        <v>862</v>
      </c>
      <c r="C432" s="1" t="s">
        <v>24</v>
      </c>
      <c r="D432" s="1" t="s">
        <v>880</v>
      </c>
      <c r="E432" s="1" t="s">
        <v>881</v>
      </c>
      <c r="F432" s="2">
        <v>680</v>
      </c>
      <c r="G432" s="3">
        <v>21</v>
      </c>
      <c r="H432" s="4" t="str">
        <f>IF(AND(A432="Yes",C432="School"),COUNTIFS($A$6:A432,"Yes",$C$6:C432,"School"),"")</f>
        <v/>
      </c>
    </row>
    <row r="433" spans="1:8">
      <c r="A433" s="13"/>
      <c r="B433" s="1" t="s">
        <v>862</v>
      </c>
      <c r="C433" s="1" t="s">
        <v>24</v>
      </c>
      <c r="D433" s="1" t="s">
        <v>882</v>
      </c>
      <c r="E433" s="1" t="s">
        <v>883</v>
      </c>
      <c r="F433" s="2">
        <v>1978</v>
      </c>
      <c r="G433" s="3">
        <v>36.700000000000003</v>
      </c>
      <c r="H433" s="4" t="str">
        <f>IF(AND(A433="Yes",C433="School"),COUNTIFS($A$6:A433,"Yes",$C$6:C433,"School"),"")</f>
        <v/>
      </c>
    </row>
    <row r="434" spans="1:8">
      <c r="A434" s="13"/>
      <c r="B434" s="1" t="s">
        <v>862</v>
      </c>
      <c r="C434" s="1" t="s">
        <v>24</v>
      </c>
      <c r="D434" s="1" t="s">
        <v>884</v>
      </c>
      <c r="E434" s="1" t="s">
        <v>885</v>
      </c>
      <c r="F434" s="2">
        <v>802</v>
      </c>
      <c r="G434" s="3">
        <v>30.8</v>
      </c>
      <c r="H434" s="4" t="str">
        <f>IF(AND(A434="Yes",C434="School"),COUNTIFS($A$6:A434,"Yes",$C$6:C434,"School"),"")</f>
        <v/>
      </c>
    </row>
    <row r="435" spans="1:8">
      <c r="A435" s="13"/>
      <c r="B435" s="1" t="s">
        <v>862</v>
      </c>
      <c r="C435" s="1" t="s">
        <v>24</v>
      </c>
      <c r="D435" s="1" t="s">
        <v>886</v>
      </c>
      <c r="E435" s="1" t="s">
        <v>887</v>
      </c>
      <c r="F435" s="2">
        <v>683</v>
      </c>
      <c r="G435" s="3">
        <v>55.6</v>
      </c>
      <c r="H435" s="4" t="str">
        <f>IF(AND(A435="Yes",C435="School"),COUNTIFS($A$6:A435,"Yes",$C$6:C435,"School"),"")</f>
        <v/>
      </c>
    </row>
    <row r="436" spans="1:8">
      <c r="A436" s="13"/>
      <c r="B436" s="1" t="s">
        <v>862</v>
      </c>
      <c r="C436" s="1" t="s">
        <v>24</v>
      </c>
      <c r="D436" s="1" t="s">
        <v>888</v>
      </c>
      <c r="E436" s="1" t="s">
        <v>889</v>
      </c>
      <c r="F436" s="2">
        <v>384</v>
      </c>
      <c r="G436" s="3">
        <v>57.3</v>
      </c>
      <c r="H436" s="4" t="str">
        <f>IF(AND(A436="Yes",C436="School"),COUNTIFS($A$6:A436,"Yes",$C$6:C436,"School"),"")</f>
        <v/>
      </c>
    </row>
    <row r="437" spans="1:8">
      <c r="A437" s="13"/>
      <c r="B437" s="1" t="s">
        <v>862</v>
      </c>
      <c r="C437" s="1" t="s">
        <v>24</v>
      </c>
      <c r="D437" s="1" t="s">
        <v>890</v>
      </c>
      <c r="E437" s="1" t="s">
        <v>891</v>
      </c>
      <c r="F437" s="2">
        <v>628</v>
      </c>
      <c r="G437" s="3">
        <v>22.9</v>
      </c>
      <c r="H437" s="4" t="str">
        <f>IF(AND(A437="Yes",C437="School"),COUNTIFS($A$6:A437,"Yes",$C$6:C437,"School"),"")</f>
        <v/>
      </c>
    </row>
    <row r="438" spans="1:8">
      <c r="A438" s="13"/>
      <c r="B438" s="1" t="s">
        <v>862</v>
      </c>
      <c r="C438" s="1" t="s">
        <v>24</v>
      </c>
      <c r="D438" s="1" t="s">
        <v>892</v>
      </c>
      <c r="E438" s="1" t="s">
        <v>893</v>
      </c>
      <c r="F438" s="2">
        <v>330</v>
      </c>
      <c r="G438" s="3">
        <v>42.1</v>
      </c>
      <c r="H438" s="4" t="str">
        <f>IF(AND(A438="Yes",C438="School"),COUNTIFS($A$6:A438,"Yes",$C$6:C438,"School"),"")</f>
        <v/>
      </c>
    </row>
    <row r="439" spans="1:8">
      <c r="A439" s="13"/>
      <c r="B439" s="1" t="s">
        <v>862</v>
      </c>
      <c r="C439" s="1" t="s">
        <v>24</v>
      </c>
      <c r="D439" s="1" t="s">
        <v>894</v>
      </c>
      <c r="E439" s="1" t="s">
        <v>895</v>
      </c>
      <c r="F439" s="2">
        <v>902</v>
      </c>
      <c r="G439" s="3">
        <v>51.3</v>
      </c>
      <c r="H439" s="4" t="str">
        <f>IF(AND(A439="Yes",C439="School"),COUNTIFS($A$6:A439,"Yes",$C$6:C439,"School"),"")</f>
        <v/>
      </c>
    </row>
    <row r="440" spans="1:8">
      <c r="A440" s="13"/>
      <c r="B440" s="1" t="s">
        <v>862</v>
      </c>
      <c r="C440" s="1" t="s">
        <v>24</v>
      </c>
      <c r="D440" s="1" t="s">
        <v>896</v>
      </c>
      <c r="E440" s="1" t="s">
        <v>897</v>
      </c>
      <c r="F440" s="2">
        <v>635</v>
      </c>
      <c r="G440" s="3">
        <v>60.2</v>
      </c>
      <c r="H440" s="4" t="str">
        <f>IF(AND(A440="Yes",C440="School"),COUNTIFS($A$6:A440,"Yes",$C$6:C440,"School"),"")</f>
        <v/>
      </c>
    </row>
    <row r="441" spans="1:8">
      <c r="A441" s="13"/>
      <c r="B441" s="1" t="s">
        <v>862</v>
      </c>
      <c r="C441" s="1" t="s">
        <v>24</v>
      </c>
      <c r="D441" s="1" t="s">
        <v>898</v>
      </c>
      <c r="E441" s="1" t="s">
        <v>899</v>
      </c>
      <c r="F441" s="2">
        <v>580</v>
      </c>
      <c r="G441" s="3">
        <v>80</v>
      </c>
      <c r="H441" s="4" t="str">
        <f>IF(AND(A441="Yes",C441="School"),COUNTIFS($A$6:A441,"Yes",$C$6:C441,"School"),"")</f>
        <v/>
      </c>
    </row>
    <row r="442" spans="1:8">
      <c r="A442" s="13"/>
      <c r="B442" s="1" t="s">
        <v>862</v>
      </c>
      <c r="C442" s="1" t="s">
        <v>24</v>
      </c>
      <c r="D442" s="1" t="s">
        <v>900</v>
      </c>
      <c r="E442" s="1" t="s">
        <v>901</v>
      </c>
      <c r="F442" s="2">
        <v>1583</v>
      </c>
      <c r="G442" s="3">
        <v>37.299999999999997</v>
      </c>
      <c r="H442" s="4" t="str">
        <f>IF(AND(A442="Yes",C442="School"),COUNTIFS($A$6:A442,"Yes",$C$6:C442,"School"),"")</f>
        <v/>
      </c>
    </row>
    <row r="443" spans="1:8">
      <c r="A443" s="13"/>
      <c r="B443" s="1" t="s">
        <v>862</v>
      </c>
      <c r="C443" s="1" t="s">
        <v>24</v>
      </c>
      <c r="D443" s="1" t="s">
        <v>902</v>
      </c>
      <c r="E443" s="1" t="s">
        <v>903</v>
      </c>
      <c r="F443" s="2">
        <v>995</v>
      </c>
      <c r="G443" s="3">
        <v>36.9</v>
      </c>
      <c r="H443" s="4" t="str">
        <f>IF(AND(A443="Yes",C443="School"),COUNTIFS($A$6:A443,"Yes",$C$6:C443,"School"),"")</f>
        <v/>
      </c>
    </row>
    <row r="444" spans="1:8">
      <c r="A444" s="13"/>
      <c r="B444" s="1" t="s">
        <v>862</v>
      </c>
      <c r="C444" s="1" t="s">
        <v>24</v>
      </c>
      <c r="D444" s="1" t="s">
        <v>904</v>
      </c>
      <c r="E444" s="1" t="s">
        <v>905</v>
      </c>
      <c r="F444" s="2">
        <v>155</v>
      </c>
      <c r="G444" s="3">
        <v>49.7</v>
      </c>
      <c r="H444" s="4" t="str">
        <f>IF(AND(A444="Yes",C444="School"),COUNTIFS($A$6:A444,"Yes",$C$6:C444,"School"),"")</f>
        <v/>
      </c>
    </row>
    <row r="445" spans="1:8">
      <c r="A445" s="13"/>
      <c r="B445" s="1" t="s">
        <v>862</v>
      </c>
      <c r="C445" s="1" t="s">
        <v>24</v>
      </c>
      <c r="D445" s="1" t="s">
        <v>906</v>
      </c>
      <c r="E445" s="1" t="s">
        <v>907</v>
      </c>
      <c r="F445" s="2">
        <v>334</v>
      </c>
      <c r="G445" s="3">
        <v>44.3</v>
      </c>
      <c r="H445" s="4" t="str">
        <f>IF(AND(A445="Yes",C445="School"),COUNTIFS($A$6:A445,"Yes",$C$6:C445,"School"),"")</f>
        <v/>
      </c>
    </row>
    <row r="446" spans="1:8">
      <c r="A446" s="13"/>
      <c r="B446" s="1" t="s">
        <v>862</v>
      </c>
      <c r="C446" s="1" t="s">
        <v>24</v>
      </c>
      <c r="D446" s="1" t="s">
        <v>908</v>
      </c>
      <c r="E446" s="1" t="s">
        <v>909</v>
      </c>
      <c r="F446" s="2">
        <v>321</v>
      </c>
      <c r="G446" s="3">
        <v>15.9</v>
      </c>
      <c r="H446" s="4" t="str">
        <f>IF(AND(A446="Yes",C446="School"),COUNTIFS($A$6:A446,"Yes",$C$6:C446,"School"),"")</f>
        <v/>
      </c>
    </row>
    <row r="447" spans="1:8">
      <c r="A447" s="13"/>
      <c r="B447" s="1" t="s">
        <v>862</v>
      </c>
      <c r="C447" s="1" t="s">
        <v>24</v>
      </c>
      <c r="D447" s="1" t="s">
        <v>910</v>
      </c>
      <c r="E447" s="1" t="s">
        <v>911</v>
      </c>
      <c r="F447" s="2">
        <v>328</v>
      </c>
      <c r="G447" s="3">
        <v>36</v>
      </c>
      <c r="H447" s="4" t="str">
        <f>IF(AND(A447="Yes",C447="School"),COUNTIFS($A$6:A447,"Yes",$C$6:C447,"School"),"")</f>
        <v/>
      </c>
    </row>
    <row r="448" spans="1:8">
      <c r="A448" s="13"/>
      <c r="B448" s="1" t="s">
        <v>862</v>
      </c>
      <c r="C448" s="1" t="s">
        <v>24</v>
      </c>
      <c r="D448" s="1" t="s">
        <v>912</v>
      </c>
      <c r="E448" s="1" t="s">
        <v>913</v>
      </c>
      <c r="F448" s="2">
        <v>483</v>
      </c>
      <c r="G448" s="3">
        <v>55.3</v>
      </c>
      <c r="H448" s="4" t="str">
        <f>IF(AND(A448="Yes",C448="School"),COUNTIFS($A$6:A448,"Yes",$C$6:C448,"School"),"")</f>
        <v/>
      </c>
    </row>
    <row r="449" spans="1:8">
      <c r="A449" s="13"/>
      <c r="B449" s="1" t="s">
        <v>862</v>
      </c>
      <c r="C449" s="1" t="s">
        <v>24</v>
      </c>
      <c r="D449" s="1" t="s">
        <v>914</v>
      </c>
      <c r="E449" s="1" t="s">
        <v>915</v>
      </c>
      <c r="F449" s="2">
        <v>684</v>
      </c>
      <c r="G449" s="3">
        <v>45.8</v>
      </c>
      <c r="H449" s="4" t="str">
        <f>IF(AND(A449="Yes",C449="School"),COUNTIFS($A$6:A449,"Yes",$C$6:C449,"School"),"")</f>
        <v/>
      </c>
    </row>
    <row r="450" spans="1:8">
      <c r="A450" s="13"/>
      <c r="B450" s="1" t="s">
        <v>862</v>
      </c>
      <c r="C450" s="1" t="s">
        <v>24</v>
      </c>
      <c r="D450" s="1" t="s">
        <v>916</v>
      </c>
      <c r="E450" s="1" t="s">
        <v>917</v>
      </c>
      <c r="F450" s="2">
        <v>210</v>
      </c>
      <c r="G450" s="3">
        <v>50</v>
      </c>
      <c r="H450" s="4" t="str">
        <f>IF(AND(A450="Yes",C450="School"),COUNTIFS($A$6:A450,"Yes",$C$6:C450,"School"),"")</f>
        <v/>
      </c>
    </row>
    <row r="451" spans="1:8">
      <c r="A451" s="13"/>
      <c r="B451" s="1" t="s">
        <v>862</v>
      </c>
      <c r="C451" s="1" t="s">
        <v>24</v>
      </c>
      <c r="D451" s="1" t="s">
        <v>918</v>
      </c>
      <c r="E451" s="1" t="s">
        <v>919</v>
      </c>
      <c r="F451" s="2">
        <v>110</v>
      </c>
      <c r="G451" s="3">
        <v>82.7</v>
      </c>
      <c r="H451" s="4" t="str">
        <f>IF(AND(A451="Yes",C451="School"),COUNTIFS($A$6:A451,"Yes",$C$6:C451,"School"),"")</f>
        <v/>
      </c>
    </row>
    <row r="452" spans="1:8">
      <c r="A452" s="13"/>
      <c r="B452" s="1" t="s">
        <v>862</v>
      </c>
      <c r="C452" s="1" t="s">
        <v>24</v>
      </c>
      <c r="D452" s="1" t="s">
        <v>920</v>
      </c>
      <c r="E452" s="1" t="s">
        <v>921</v>
      </c>
      <c r="F452" s="2">
        <v>518</v>
      </c>
      <c r="G452" s="3">
        <v>50.8</v>
      </c>
      <c r="H452" s="4" t="str">
        <f>IF(AND(A452="Yes",C452="School"),COUNTIFS($A$6:A452,"Yes",$C$6:C452,"School"),"")</f>
        <v/>
      </c>
    </row>
    <row r="453" spans="1:8">
      <c r="A453" s="13"/>
      <c r="B453" s="1" t="s">
        <v>862</v>
      </c>
      <c r="C453" s="1" t="s">
        <v>24</v>
      </c>
      <c r="D453" s="1" t="s">
        <v>922</v>
      </c>
      <c r="E453" s="1" t="s">
        <v>923</v>
      </c>
      <c r="F453" s="2">
        <v>479</v>
      </c>
      <c r="G453" s="3">
        <v>52.8</v>
      </c>
      <c r="H453" s="4" t="str">
        <f>IF(AND(A453="Yes",C453="School"),COUNTIFS($A$6:A453,"Yes",$C$6:C453,"School"),"")</f>
        <v/>
      </c>
    </row>
    <row r="454" spans="1:8">
      <c r="A454" s="13"/>
      <c r="B454" s="1" t="s">
        <v>862</v>
      </c>
      <c r="C454" s="1" t="s">
        <v>24</v>
      </c>
      <c r="D454" s="1" t="s">
        <v>924</v>
      </c>
      <c r="E454" s="1" t="s">
        <v>925</v>
      </c>
      <c r="F454" s="2">
        <v>785</v>
      </c>
      <c r="G454" s="3">
        <v>49.9</v>
      </c>
      <c r="H454" s="4" t="str">
        <f>IF(AND(A454="Yes",C454="School"),COUNTIFS($A$6:A454,"Yes",$C$6:C454,"School"),"")</f>
        <v/>
      </c>
    </row>
    <row r="455" spans="1:8">
      <c r="A455" s="13"/>
      <c r="B455" s="1" t="s">
        <v>862</v>
      </c>
      <c r="C455" s="1" t="s">
        <v>24</v>
      </c>
      <c r="D455" s="1" t="s">
        <v>926</v>
      </c>
      <c r="E455" s="1" t="s">
        <v>927</v>
      </c>
      <c r="F455" s="2">
        <v>916</v>
      </c>
      <c r="G455" s="3">
        <v>42.9</v>
      </c>
      <c r="H455" s="4" t="str">
        <f>IF(AND(A455="Yes",C455="School"),COUNTIFS($A$6:A455,"Yes",$C$6:C455,"School"),"")</f>
        <v/>
      </c>
    </row>
    <row r="456" spans="1:8">
      <c r="A456" s="13"/>
      <c r="B456" s="1" t="s">
        <v>862</v>
      </c>
      <c r="C456" s="1" t="s">
        <v>24</v>
      </c>
      <c r="D456" s="1" t="s">
        <v>928</v>
      </c>
      <c r="E456" s="1" t="s">
        <v>929</v>
      </c>
      <c r="F456" s="2">
        <v>1416</v>
      </c>
      <c r="G456" s="3">
        <v>18.2</v>
      </c>
      <c r="H456" s="4" t="str">
        <f>IF(AND(A456="Yes",C456="School"),COUNTIFS($A$6:A456,"Yes",$C$6:C456,"School"),"")</f>
        <v/>
      </c>
    </row>
    <row r="457" spans="1:8">
      <c r="A457" s="13"/>
      <c r="B457" s="1" t="s">
        <v>862</v>
      </c>
      <c r="C457" s="1" t="s">
        <v>24</v>
      </c>
      <c r="D457" s="1" t="s">
        <v>930</v>
      </c>
      <c r="E457" s="1" t="s">
        <v>931</v>
      </c>
      <c r="F457" s="2">
        <v>553</v>
      </c>
      <c r="G457" s="3">
        <v>28</v>
      </c>
      <c r="H457" s="4" t="str">
        <f>IF(AND(A457="Yes",C457="School"),COUNTIFS($A$6:A457,"Yes",$C$6:C457,"School"),"")</f>
        <v/>
      </c>
    </row>
    <row r="458" spans="1:8">
      <c r="A458" s="13"/>
      <c r="B458" s="1" t="s">
        <v>862</v>
      </c>
      <c r="C458" s="1" t="s">
        <v>24</v>
      </c>
      <c r="D458" s="1" t="s">
        <v>932</v>
      </c>
      <c r="E458" s="1" t="s">
        <v>933</v>
      </c>
      <c r="F458" s="2">
        <v>361</v>
      </c>
      <c r="G458" s="3">
        <v>42.9</v>
      </c>
      <c r="H458" s="4" t="str">
        <f>IF(AND(A458="Yes",C458="School"),COUNTIFS($A$6:A458,"Yes",$C$6:C458,"School"),"")</f>
        <v/>
      </c>
    </row>
    <row r="459" spans="1:8">
      <c r="A459" s="13"/>
      <c r="B459" s="1" t="s">
        <v>862</v>
      </c>
      <c r="C459" s="1" t="s">
        <v>24</v>
      </c>
      <c r="D459" s="1" t="s">
        <v>934</v>
      </c>
      <c r="E459" s="1" t="s">
        <v>935</v>
      </c>
      <c r="F459" s="2">
        <v>643</v>
      </c>
      <c r="G459" s="3">
        <v>57.1</v>
      </c>
      <c r="H459" s="4" t="str">
        <f>IF(AND(A459="Yes",C459="School"),COUNTIFS($A$6:A459,"Yes",$C$6:C459,"School"),"")</f>
        <v/>
      </c>
    </row>
    <row r="460" spans="1:8">
      <c r="A460" s="13"/>
      <c r="B460" s="1" t="s">
        <v>862</v>
      </c>
      <c r="C460" s="1" t="s">
        <v>24</v>
      </c>
      <c r="D460" s="1" t="s">
        <v>936</v>
      </c>
      <c r="E460" s="1" t="s">
        <v>937</v>
      </c>
      <c r="F460" s="2">
        <v>943</v>
      </c>
      <c r="G460" s="3">
        <v>39.200000000000003</v>
      </c>
      <c r="H460" s="4" t="str">
        <f>IF(AND(A460="Yes",C460="School"),COUNTIFS($A$6:A460,"Yes",$C$6:C460,"School"),"")</f>
        <v/>
      </c>
    </row>
    <row r="461" spans="1:8">
      <c r="A461" s="13"/>
      <c r="B461" s="1" t="s">
        <v>862</v>
      </c>
      <c r="C461" s="1" t="s">
        <v>24</v>
      </c>
      <c r="D461" s="1" t="s">
        <v>938</v>
      </c>
      <c r="E461" s="1" t="s">
        <v>939</v>
      </c>
      <c r="F461" s="2">
        <v>483</v>
      </c>
      <c r="G461" s="3">
        <v>56.7</v>
      </c>
      <c r="H461" s="4" t="str">
        <f>IF(AND(A461="Yes",C461="School"),COUNTIFS($A$6:A461,"Yes",$C$6:C461,"School"),"")</f>
        <v/>
      </c>
    </row>
    <row r="462" spans="1:8">
      <c r="A462" s="13"/>
      <c r="B462" s="1" t="s">
        <v>862</v>
      </c>
      <c r="C462" s="1" t="s">
        <v>24</v>
      </c>
      <c r="D462" s="1" t="s">
        <v>940</v>
      </c>
      <c r="E462" s="1" t="s">
        <v>941</v>
      </c>
      <c r="F462" s="2">
        <v>600</v>
      </c>
      <c r="G462" s="3">
        <v>57.2</v>
      </c>
      <c r="H462" s="4" t="str">
        <f>IF(AND(A462="Yes",C462="School"),COUNTIFS($A$6:A462,"Yes",$C$6:C462,"School"),"")</f>
        <v/>
      </c>
    </row>
    <row r="463" spans="1:8">
      <c r="A463" s="13"/>
      <c r="B463" s="1" t="s">
        <v>862</v>
      </c>
      <c r="C463" s="1" t="s">
        <v>24</v>
      </c>
      <c r="D463" s="1" t="s">
        <v>942</v>
      </c>
      <c r="E463" s="1" t="s">
        <v>943</v>
      </c>
      <c r="F463" s="2">
        <v>675</v>
      </c>
      <c r="G463" s="3">
        <v>73.2</v>
      </c>
      <c r="H463" s="4" t="str">
        <f>IF(AND(A463="Yes",C463="School"),COUNTIFS($A$6:A463,"Yes",$C$6:C463,"School"),"")</f>
        <v/>
      </c>
    </row>
    <row r="464" spans="1:8">
      <c r="A464" s="13"/>
      <c r="B464" s="1" t="s">
        <v>862</v>
      </c>
      <c r="C464" s="1" t="s">
        <v>24</v>
      </c>
      <c r="D464" s="1" t="s">
        <v>944</v>
      </c>
      <c r="E464" s="1" t="s">
        <v>945</v>
      </c>
      <c r="F464" s="2">
        <v>796</v>
      </c>
      <c r="G464" s="3">
        <v>10.8</v>
      </c>
      <c r="H464" s="4" t="str">
        <f>IF(AND(A464="Yes",C464="School"),COUNTIFS($A$6:A464,"Yes",$C$6:C464,"School"),"")</f>
        <v/>
      </c>
    </row>
    <row r="465" spans="1:8">
      <c r="A465" s="13"/>
      <c r="B465" s="1" t="s">
        <v>862</v>
      </c>
      <c r="C465" s="1" t="s">
        <v>24</v>
      </c>
      <c r="D465" s="1" t="s">
        <v>946</v>
      </c>
      <c r="E465" s="1" t="s">
        <v>947</v>
      </c>
      <c r="F465" s="2">
        <v>533</v>
      </c>
      <c r="G465" s="3">
        <v>57.8</v>
      </c>
      <c r="H465" s="4" t="str">
        <f>IF(AND(A465="Yes",C465="School"),COUNTIFS($A$6:A465,"Yes",$C$6:C465,"School"),"")</f>
        <v/>
      </c>
    </row>
    <row r="466" spans="1:8">
      <c r="A466" s="13"/>
      <c r="B466" s="1" t="s">
        <v>862</v>
      </c>
      <c r="C466" s="1" t="s">
        <v>24</v>
      </c>
      <c r="D466" s="1" t="s">
        <v>948</v>
      </c>
      <c r="E466" s="1" t="s">
        <v>949</v>
      </c>
      <c r="F466" s="2">
        <v>439</v>
      </c>
      <c r="G466" s="3">
        <v>18.2</v>
      </c>
      <c r="H466" s="4" t="str">
        <f>IF(AND(A466="Yes",C466="School"),COUNTIFS($A$6:A466,"Yes",$C$6:C466,"School"),"")</f>
        <v/>
      </c>
    </row>
    <row r="467" spans="1:8">
      <c r="A467" s="13"/>
      <c r="B467" s="1" t="s">
        <v>862</v>
      </c>
      <c r="C467" s="1" t="s">
        <v>24</v>
      </c>
      <c r="D467" s="1" t="s">
        <v>950</v>
      </c>
      <c r="E467" s="1" t="s">
        <v>951</v>
      </c>
      <c r="F467" s="2">
        <v>344</v>
      </c>
      <c r="G467" s="3">
        <v>15.7</v>
      </c>
      <c r="H467" s="4" t="str">
        <f>IF(AND(A467="Yes",C467="School"),COUNTIFS($A$6:A467,"Yes",$C$6:C467,"School"),"")</f>
        <v/>
      </c>
    </row>
    <row r="468" spans="1:8">
      <c r="A468" s="13"/>
      <c r="B468" s="1" t="s">
        <v>862</v>
      </c>
      <c r="C468" s="1" t="s">
        <v>24</v>
      </c>
      <c r="D468" s="1" t="s">
        <v>952</v>
      </c>
      <c r="E468" s="1" t="s">
        <v>953</v>
      </c>
      <c r="F468" s="2">
        <v>636</v>
      </c>
      <c r="G468" s="3">
        <v>52.8</v>
      </c>
      <c r="H468" s="4" t="str">
        <f>IF(AND(A468="Yes",C468="School"),COUNTIFS($A$6:A468,"Yes",$C$6:C468,"School"),"")</f>
        <v/>
      </c>
    </row>
    <row r="469" spans="1:8">
      <c r="A469" s="13"/>
      <c r="B469" s="1" t="s">
        <v>862</v>
      </c>
      <c r="C469" s="1" t="s">
        <v>24</v>
      </c>
      <c r="D469" s="1" t="s">
        <v>954</v>
      </c>
      <c r="E469" s="1" t="s">
        <v>955</v>
      </c>
      <c r="F469" s="2">
        <v>330</v>
      </c>
      <c r="G469" s="3">
        <v>75.2</v>
      </c>
      <c r="H469" s="4" t="str">
        <f>IF(AND(A469="Yes",C469="School"),COUNTIFS($A$6:A469,"Yes",$C$6:C469,"School"),"")</f>
        <v/>
      </c>
    </row>
    <row r="470" spans="1:8">
      <c r="A470" s="13"/>
      <c r="B470" s="1" t="s">
        <v>862</v>
      </c>
      <c r="C470" s="1" t="s">
        <v>24</v>
      </c>
      <c r="D470" s="1" t="s">
        <v>956</v>
      </c>
      <c r="E470" s="1" t="s">
        <v>957</v>
      </c>
      <c r="F470" s="2">
        <v>2473</v>
      </c>
      <c r="G470" s="3">
        <v>43.9</v>
      </c>
      <c r="H470" s="4" t="str">
        <f>IF(AND(A470="Yes",C470="School"),COUNTIFS($A$6:A470,"Yes",$C$6:C470,"School"),"")</f>
        <v/>
      </c>
    </row>
    <row r="471" spans="1:8">
      <c r="A471" s="13"/>
      <c r="B471" s="1" t="s">
        <v>862</v>
      </c>
      <c r="C471" s="1" t="s">
        <v>24</v>
      </c>
      <c r="D471" s="1" t="s">
        <v>958</v>
      </c>
      <c r="E471" s="1" t="s">
        <v>959</v>
      </c>
      <c r="F471" s="2">
        <v>383</v>
      </c>
      <c r="G471" s="3">
        <v>30.3</v>
      </c>
      <c r="H471" s="4" t="str">
        <f>IF(AND(A471="Yes",C471="School"),COUNTIFS($A$6:A471,"Yes",$C$6:C471,"School"),"")</f>
        <v/>
      </c>
    </row>
    <row r="472" spans="1:8">
      <c r="A472" s="13"/>
      <c r="B472" s="1" t="s">
        <v>862</v>
      </c>
      <c r="C472" s="1" t="s">
        <v>24</v>
      </c>
      <c r="D472" s="1" t="s">
        <v>960</v>
      </c>
      <c r="E472" s="1" t="s">
        <v>961</v>
      </c>
      <c r="F472" s="2">
        <v>752</v>
      </c>
      <c r="G472" s="3">
        <v>50.4</v>
      </c>
      <c r="H472" s="4" t="str">
        <f>IF(AND(A472="Yes",C472="School"),COUNTIFS($A$6:A472,"Yes",$C$6:C472,"School"),"")</f>
        <v/>
      </c>
    </row>
    <row r="473" spans="1:8">
      <c r="A473" s="13"/>
      <c r="B473" s="1" t="s">
        <v>862</v>
      </c>
      <c r="C473" s="1" t="s">
        <v>24</v>
      </c>
      <c r="D473" s="1" t="s">
        <v>962</v>
      </c>
      <c r="E473" s="1" t="s">
        <v>963</v>
      </c>
      <c r="F473" s="2">
        <v>85</v>
      </c>
      <c r="G473" s="3">
        <v>80</v>
      </c>
      <c r="H473" s="4" t="str">
        <f>IF(AND(A473="Yes",C473="School"),COUNTIFS($A$6:A473,"Yes",$C$6:C473,"School"),"")</f>
        <v/>
      </c>
    </row>
    <row r="474" spans="1:8">
      <c r="A474" s="13"/>
      <c r="B474" s="1" t="s">
        <v>862</v>
      </c>
      <c r="C474" s="1" t="s">
        <v>24</v>
      </c>
      <c r="D474" s="1" t="s">
        <v>964</v>
      </c>
      <c r="E474" s="1" t="s">
        <v>965</v>
      </c>
      <c r="F474" s="2">
        <v>692</v>
      </c>
      <c r="G474" s="3">
        <v>17.100000000000001</v>
      </c>
      <c r="H474" s="4" t="str">
        <f>IF(AND(A474="Yes",C474="School"),COUNTIFS($A$6:A474,"Yes",$C$6:C474,"School"),"")</f>
        <v/>
      </c>
    </row>
    <row r="475" spans="1:8">
      <c r="A475" s="13"/>
      <c r="B475" s="1" t="s">
        <v>862</v>
      </c>
      <c r="C475" s="1" t="s">
        <v>24</v>
      </c>
      <c r="D475" s="1" t="s">
        <v>966</v>
      </c>
      <c r="E475" s="1" t="s">
        <v>967</v>
      </c>
      <c r="F475" s="2">
        <v>444</v>
      </c>
      <c r="G475" s="3">
        <v>61.9</v>
      </c>
      <c r="H475" s="4" t="str">
        <f>IF(AND(A475="Yes",C475="School"),COUNTIFS($A$6:A475,"Yes",$C$6:C475,"School"),"")</f>
        <v/>
      </c>
    </row>
    <row r="476" spans="1:8">
      <c r="A476" s="13"/>
      <c r="B476" s="1" t="s">
        <v>862</v>
      </c>
      <c r="C476" s="1" t="s">
        <v>24</v>
      </c>
      <c r="D476" s="1" t="s">
        <v>968</v>
      </c>
      <c r="E476" s="1" t="s">
        <v>969</v>
      </c>
      <c r="F476" s="2">
        <v>697</v>
      </c>
      <c r="G476" s="3">
        <v>25</v>
      </c>
      <c r="H476" s="4" t="str">
        <f>IF(AND(A476="Yes",C476="School"),COUNTIFS($A$6:A476,"Yes",$C$6:C476,"School"),"")</f>
        <v/>
      </c>
    </row>
    <row r="477" spans="1:8">
      <c r="A477" s="13"/>
      <c r="B477" s="1" t="s">
        <v>862</v>
      </c>
      <c r="C477" s="1" t="s">
        <v>24</v>
      </c>
      <c r="D477" s="1" t="s">
        <v>970</v>
      </c>
      <c r="E477" s="1" t="s">
        <v>971</v>
      </c>
      <c r="F477" s="2">
        <v>723</v>
      </c>
      <c r="G477" s="3">
        <v>33.9</v>
      </c>
      <c r="H477" s="4" t="str">
        <f>IF(AND(A477="Yes",C477="School"),COUNTIFS($A$6:A477,"Yes",$C$6:C477,"School"),"")</f>
        <v/>
      </c>
    </row>
    <row r="478" spans="1:8">
      <c r="A478" s="13"/>
      <c r="B478" s="1" t="s">
        <v>862</v>
      </c>
      <c r="C478" s="1" t="s">
        <v>24</v>
      </c>
      <c r="D478" s="1" t="s">
        <v>972</v>
      </c>
      <c r="E478" s="1" t="s">
        <v>973</v>
      </c>
      <c r="F478" s="2">
        <v>577</v>
      </c>
      <c r="G478" s="3">
        <v>55.3</v>
      </c>
      <c r="H478" s="4" t="str">
        <f>IF(AND(A478="Yes",C478="School"),COUNTIFS($A$6:A478,"Yes",$C$6:C478,"School"),"")</f>
        <v/>
      </c>
    </row>
    <row r="479" spans="1:8">
      <c r="A479" s="13"/>
      <c r="B479" s="1" t="s">
        <v>862</v>
      </c>
      <c r="C479" s="1" t="s">
        <v>24</v>
      </c>
      <c r="D479" s="1" t="s">
        <v>974</v>
      </c>
      <c r="E479" s="1" t="s">
        <v>975</v>
      </c>
      <c r="F479" s="2">
        <v>343</v>
      </c>
      <c r="G479" s="3">
        <v>37.9</v>
      </c>
      <c r="H479" s="4" t="str">
        <f>IF(AND(A479="Yes",C479="School"),COUNTIFS($A$6:A479,"Yes",$C$6:C479,"School"),"")</f>
        <v/>
      </c>
    </row>
    <row r="480" spans="1:8">
      <c r="A480" s="13"/>
      <c r="B480" s="1" t="s">
        <v>862</v>
      </c>
      <c r="C480" s="1" t="s">
        <v>24</v>
      </c>
      <c r="D480" s="1" t="s">
        <v>976</v>
      </c>
      <c r="E480" s="1" t="s">
        <v>977</v>
      </c>
      <c r="F480" s="2">
        <v>1081</v>
      </c>
      <c r="G480" s="3">
        <v>45</v>
      </c>
      <c r="H480" s="4" t="str">
        <f>IF(AND(A480="Yes",C480="School"),COUNTIFS($A$6:A480,"Yes",$C$6:C480,"School"),"")</f>
        <v/>
      </c>
    </row>
    <row r="481" spans="1:8">
      <c r="A481" s="13"/>
      <c r="B481" s="1" t="s">
        <v>862</v>
      </c>
      <c r="C481" s="1" t="s">
        <v>24</v>
      </c>
      <c r="D481" s="1" t="s">
        <v>978</v>
      </c>
      <c r="E481" s="1" t="s">
        <v>979</v>
      </c>
      <c r="F481" s="2">
        <v>1580</v>
      </c>
      <c r="G481" s="3">
        <v>53.1</v>
      </c>
      <c r="H481" s="4" t="str">
        <f>IF(AND(A481="Yes",C481="School"),COUNTIFS($A$6:A481,"Yes",$C$6:C481,"School"),"")</f>
        <v/>
      </c>
    </row>
    <row r="482" spans="1:8">
      <c r="A482" s="13"/>
      <c r="B482" s="1" t="s">
        <v>862</v>
      </c>
      <c r="C482" s="1" t="s">
        <v>24</v>
      </c>
      <c r="D482" s="1" t="s">
        <v>980</v>
      </c>
      <c r="E482" s="1" t="s">
        <v>981</v>
      </c>
      <c r="F482" s="2">
        <v>921</v>
      </c>
      <c r="G482" s="3">
        <v>58.6</v>
      </c>
      <c r="H482" s="4" t="str">
        <f>IF(AND(A482="Yes",C482="School"),COUNTIFS($A$6:A482,"Yes",$C$6:C482,"School"),"")</f>
        <v/>
      </c>
    </row>
    <row r="483" spans="1:8">
      <c r="A483" s="13"/>
      <c r="B483" s="1" t="s">
        <v>862</v>
      </c>
      <c r="C483" s="1" t="s">
        <v>24</v>
      </c>
      <c r="D483" s="1" t="s">
        <v>982</v>
      </c>
      <c r="E483" s="1" t="s">
        <v>983</v>
      </c>
      <c r="F483" s="2">
        <v>726</v>
      </c>
      <c r="G483" s="3">
        <v>56.9</v>
      </c>
      <c r="H483" s="4" t="str">
        <f>IF(AND(A483="Yes",C483="School"),COUNTIFS($A$6:A483,"Yes",$C$6:C483,"School"),"")</f>
        <v/>
      </c>
    </row>
    <row r="484" spans="1:8">
      <c r="A484" s="13"/>
      <c r="B484" s="1" t="s">
        <v>862</v>
      </c>
      <c r="C484" s="1" t="s">
        <v>24</v>
      </c>
      <c r="D484" s="1" t="s">
        <v>984</v>
      </c>
      <c r="E484" s="1" t="s">
        <v>985</v>
      </c>
      <c r="F484" s="2">
        <v>601</v>
      </c>
      <c r="G484" s="3">
        <v>19.600000000000001</v>
      </c>
      <c r="H484" s="4" t="str">
        <f>IF(AND(A484="Yes",C484="School"),COUNTIFS($A$6:A484,"Yes",$C$6:C484,"School"),"")</f>
        <v/>
      </c>
    </row>
    <row r="485" spans="1:8">
      <c r="A485" s="13"/>
      <c r="B485" s="1" t="s">
        <v>862</v>
      </c>
      <c r="C485" s="1" t="s">
        <v>24</v>
      </c>
      <c r="D485" s="1" t="s">
        <v>986</v>
      </c>
      <c r="E485" s="1" t="s">
        <v>987</v>
      </c>
      <c r="F485" s="2">
        <v>584</v>
      </c>
      <c r="G485" s="3">
        <v>57.2</v>
      </c>
      <c r="H485" s="4" t="str">
        <f>IF(AND(A485="Yes",C485="School"),COUNTIFS($A$6:A485,"Yes",$C$6:C485,"School"),"")</f>
        <v/>
      </c>
    </row>
    <row r="486" spans="1:8">
      <c r="A486" s="13"/>
      <c r="B486" s="1" t="s">
        <v>862</v>
      </c>
      <c r="C486" s="1" t="s">
        <v>24</v>
      </c>
      <c r="D486" s="1" t="s">
        <v>988</v>
      </c>
      <c r="E486" s="1" t="s">
        <v>989</v>
      </c>
      <c r="F486" s="2">
        <v>676</v>
      </c>
      <c r="G486" s="3">
        <v>63</v>
      </c>
      <c r="H486" s="4" t="str">
        <f>IF(AND(A486="Yes",C486="School"),COUNTIFS($A$6:A486,"Yes",$C$6:C486,"School"),"")</f>
        <v/>
      </c>
    </row>
    <row r="487" spans="1:8">
      <c r="A487" s="13"/>
      <c r="B487" s="1" t="s">
        <v>862</v>
      </c>
      <c r="C487" s="1" t="s">
        <v>24</v>
      </c>
      <c r="D487" s="1" t="s">
        <v>990</v>
      </c>
      <c r="E487" s="1" t="s">
        <v>991</v>
      </c>
      <c r="F487" s="2">
        <v>985</v>
      </c>
      <c r="G487" s="3">
        <v>66.599999999999994</v>
      </c>
      <c r="H487" s="4" t="str">
        <f>IF(AND(A487="Yes",C487="School"),COUNTIFS($A$6:A487,"Yes",$C$6:C487,"School"),"")</f>
        <v/>
      </c>
    </row>
    <row r="488" spans="1:8">
      <c r="A488" s="13"/>
      <c r="B488" s="1" t="s">
        <v>862</v>
      </c>
      <c r="C488" s="1" t="s">
        <v>24</v>
      </c>
      <c r="D488" s="1" t="s">
        <v>992</v>
      </c>
      <c r="E488" s="1" t="s">
        <v>993</v>
      </c>
      <c r="F488" s="2">
        <v>125</v>
      </c>
      <c r="G488" s="3">
        <v>32.799999999999997</v>
      </c>
      <c r="H488" s="4" t="str">
        <f>IF(AND(A488="Yes",C488="School"),COUNTIFS($A$6:A488,"Yes",$C$6:C488,"School"),"")</f>
        <v/>
      </c>
    </row>
    <row r="489" spans="1:8">
      <c r="A489" s="13"/>
      <c r="B489" s="1" t="s">
        <v>862</v>
      </c>
      <c r="C489" s="1" t="s">
        <v>24</v>
      </c>
      <c r="D489" s="1" t="s">
        <v>994</v>
      </c>
      <c r="E489" s="1" t="s">
        <v>995</v>
      </c>
      <c r="F489" s="2">
        <v>582</v>
      </c>
      <c r="G489" s="3">
        <v>15.5</v>
      </c>
      <c r="H489" s="4" t="str">
        <f>IF(AND(A489="Yes",C489="School"),COUNTIFS($A$6:A489,"Yes",$C$6:C489,"School"),"")</f>
        <v/>
      </c>
    </row>
    <row r="490" spans="1:8">
      <c r="A490" s="13"/>
      <c r="B490" s="1" t="s">
        <v>862</v>
      </c>
      <c r="C490" s="1" t="s">
        <v>24</v>
      </c>
      <c r="D490" s="1" t="s">
        <v>996</v>
      </c>
      <c r="E490" s="1" t="s">
        <v>997</v>
      </c>
      <c r="F490" s="2">
        <v>244</v>
      </c>
      <c r="G490" s="3">
        <v>54.1</v>
      </c>
      <c r="H490" s="4" t="str">
        <f>IF(AND(A490="Yes",C490="School"),COUNTIFS($A$6:A490,"Yes",$C$6:C490,"School"),"")</f>
        <v/>
      </c>
    </row>
    <row r="491" spans="1:8">
      <c r="A491" s="13"/>
      <c r="B491" s="1" t="s">
        <v>862</v>
      </c>
      <c r="C491" s="1" t="s">
        <v>24</v>
      </c>
      <c r="D491" s="1" t="s">
        <v>998</v>
      </c>
      <c r="E491" s="1" t="s">
        <v>999</v>
      </c>
      <c r="F491" s="2">
        <v>633</v>
      </c>
      <c r="G491" s="3">
        <v>64.8</v>
      </c>
      <c r="H491" s="4" t="str">
        <f>IF(AND(A491="Yes",C491="School"),COUNTIFS($A$6:A491,"Yes",$C$6:C491,"School"),"")</f>
        <v/>
      </c>
    </row>
    <row r="492" spans="1:8">
      <c r="A492" s="13"/>
      <c r="B492" s="1" t="s">
        <v>862</v>
      </c>
      <c r="C492" s="1" t="s">
        <v>24</v>
      </c>
      <c r="D492" s="1" t="s">
        <v>1000</v>
      </c>
      <c r="E492" s="1" t="s">
        <v>1001</v>
      </c>
      <c r="F492" s="2">
        <v>811</v>
      </c>
      <c r="G492" s="3">
        <v>62.1</v>
      </c>
      <c r="H492" s="4" t="str">
        <f>IF(AND(A492="Yes",C492="School"),COUNTIFS($A$6:A492,"Yes",$C$6:C492,"School"),"")</f>
        <v/>
      </c>
    </row>
    <row r="493" spans="1:8">
      <c r="A493" s="13"/>
      <c r="B493" s="1" t="s">
        <v>862</v>
      </c>
      <c r="C493" s="1" t="s">
        <v>24</v>
      </c>
      <c r="D493" s="1" t="s">
        <v>1002</v>
      </c>
      <c r="E493" s="1" t="s">
        <v>1003</v>
      </c>
      <c r="F493" s="2">
        <v>511</v>
      </c>
      <c r="G493" s="3">
        <v>41.9</v>
      </c>
      <c r="H493" s="4" t="str">
        <f>IF(AND(A493="Yes",C493="School"),COUNTIFS($A$6:A493,"Yes",$C$6:C493,"School"),"")</f>
        <v/>
      </c>
    </row>
    <row r="494" spans="1:8">
      <c r="A494" s="13"/>
      <c r="B494" s="1" t="s">
        <v>862</v>
      </c>
      <c r="C494" s="1" t="s">
        <v>24</v>
      </c>
      <c r="D494" s="1" t="s">
        <v>1004</v>
      </c>
      <c r="E494" s="1" t="s">
        <v>1005</v>
      </c>
      <c r="F494" s="2">
        <v>345</v>
      </c>
      <c r="G494" s="3">
        <v>20.6</v>
      </c>
      <c r="H494" s="4" t="str">
        <f>IF(AND(A494="Yes",C494="School"),COUNTIFS($A$6:A494,"Yes",$C$6:C494,"School"),"")</f>
        <v/>
      </c>
    </row>
    <row r="495" spans="1:8">
      <c r="A495" s="13"/>
      <c r="B495" s="1" t="s">
        <v>862</v>
      </c>
      <c r="C495" s="1" t="s">
        <v>24</v>
      </c>
      <c r="D495" s="1" t="s">
        <v>1006</v>
      </c>
      <c r="E495" s="1" t="s">
        <v>1007</v>
      </c>
      <c r="F495" s="2">
        <v>438</v>
      </c>
      <c r="G495" s="3">
        <v>70.099999999999994</v>
      </c>
      <c r="H495" s="4" t="str">
        <f>IF(AND(A495="Yes",C495="School"),COUNTIFS($A$6:A495,"Yes",$C$6:C495,"School"),"")</f>
        <v/>
      </c>
    </row>
    <row r="496" spans="1:8">
      <c r="A496" s="13"/>
      <c r="B496" s="1" t="s">
        <v>862</v>
      </c>
      <c r="C496" s="1" t="s">
        <v>24</v>
      </c>
      <c r="D496" s="1" t="s">
        <v>1008</v>
      </c>
      <c r="E496" s="1" t="s">
        <v>1009</v>
      </c>
      <c r="F496" s="2">
        <v>1738</v>
      </c>
      <c r="G496" s="3">
        <v>38.799999999999997</v>
      </c>
      <c r="H496" s="4" t="str">
        <f>IF(AND(A496="Yes",C496="School"),COUNTIFS($A$6:A496,"Yes",$C$6:C496,"School"),"")</f>
        <v/>
      </c>
    </row>
    <row r="497" spans="1:8">
      <c r="A497" s="13"/>
      <c r="B497" s="1" t="s">
        <v>862</v>
      </c>
      <c r="C497" s="1" t="s">
        <v>24</v>
      </c>
      <c r="D497" s="1" t="s">
        <v>1010</v>
      </c>
      <c r="E497" s="1" t="s">
        <v>1011</v>
      </c>
      <c r="F497" s="2">
        <v>605</v>
      </c>
      <c r="G497" s="3">
        <v>66.900000000000006</v>
      </c>
      <c r="H497" s="4" t="str">
        <f>IF(AND(A497="Yes",C497="School"),COUNTIFS($A$6:A497,"Yes",$C$6:C497,"School"),"")</f>
        <v/>
      </c>
    </row>
    <row r="498" spans="1:8">
      <c r="A498" s="13"/>
      <c r="B498" s="1" t="s">
        <v>862</v>
      </c>
      <c r="C498" s="1" t="s">
        <v>24</v>
      </c>
      <c r="D498" s="1" t="s">
        <v>1012</v>
      </c>
      <c r="E498" s="1" t="s">
        <v>1013</v>
      </c>
      <c r="F498" s="2">
        <v>942</v>
      </c>
      <c r="G498" s="3">
        <v>22</v>
      </c>
      <c r="H498" s="4" t="str">
        <f>IF(AND(A498="Yes",C498="School"),COUNTIFS($A$6:A498,"Yes",$C$6:C498,"School"),"")</f>
        <v/>
      </c>
    </row>
    <row r="499" spans="1:8">
      <c r="A499" s="13"/>
      <c r="B499" s="1" t="s">
        <v>862</v>
      </c>
      <c r="C499" s="1" t="s">
        <v>24</v>
      </c>
      <c r="D499" s="1" t="s">
        <v>1014</v>
      </c>
      <c r="E499" s="1" t="s">
        <v>1015</v>
      </c>
      <c r="F499" s="2">
        <v>669</v>
      </c>
      <c r="G499" s="3">
        <v>48.1</v>
      </c>
      <c r="H499" s="4" t="str">
        <f>IF(AND(A499="Yes",C499="School"),COUNTIFS($A$6:A499,"Yes",$C$6:C499,"School"),"")</f>
        <v/>
      </c>
    </row>
    <row r="500" spans="1:8">
      <c r="A500" s="13"/>
      <c r="B500" s="1" t="s">
        <v>862</v>
      </c>
      <c r="C500" s="1" t="s">
        <v>24</v>
      </c>
      <c r="D500" s="1" t="s">
        <v>1016</v>
      </c>
      <c r="E500" s="1" t="s">
        <v>1017</v>
      </c>
      <c r="F500" s="2">
        <v>800</v>
      </c>
      <c r="G500" s="3">
        <v>57.4</v>
      </c>
      <c r="H500" s="4" t="str">
        <f>IF(AND(A500="Yes",C500="School"),COUNTIFS($A$6:A500,"Yes",$C$6:C500,"School"),"")</f>
        <v/>
      </c>
    </row>
    <row r="501" spans="1:8">
      <c r="A501" s="13"/>
      <c r="B501" s="1" t="s">
        <v>862</v>
      </c>
      <c r="C501" s="1" t="s">
        <v>24</v>
      </c>
      <c r="D501" s="1" t="s">
        <v>1018</v>
      </c>
      <c r="E501" s="1" t="s">
        <v>1019</v>
      </c>
      <c r="F501" s="2">
        <v>1782</v>
      </c>
      <c r="G501" s="3">
        <v>42.9</v>
      </c>
      <c r="H501" s="4" t="str">
        <f>IF(AND(A501="Yes",C501="School"),COUNTIFS($A$6:A501,"Yes",$C$6:C501,"School"),"")</f>
        <v/>
      </c>
    </row>
    <row r="502" spans="1:8">
      <c r="A502" s="13"/>
      <c r="B502" s="1" t="s">
        <v>862</v>
      </c>
      <c r="C502" s="1" t="s">
        <v>24</v>
      </c>
      <c r="D502" s="1" t="s">
        <v>1020</v>
      </c>
      <c r="E502" s="1" t="s">
        <v>1021</v>
      </c>
      <c r="F502" s="2">
        <v>415</v>
      </c>
      <c r="G502" s="3">
        <v>38.299999999999997</v>
      </c>
      <c r="H502" s="4" t="str">
        <f>IF(AND(A502="Yes",C502="School"),COUNTIFS($A$6:A502,"Yes",$C$6:C502,"School"),"")</f>
        <v/>
      </c>
    </row>
    <row r="503" spans="1:8">
      <c r="A503" s="13"/>
      <c r="B503" s="1" t="s">
        <v>862</v>
      </c>
      <c r="C503" s="1" t="s">
        <v>24</v>
      </c>
      <c r="D503" s="1" t="s">
        <v>1022</v>
      </c>
      <c r="E503" s="1" t="s">
        <v>1023</v>
      </c>
      <c r="F503" s="2">
        <v>566</v>
      </c>
      <c r="G503" s="3">
        <v>65</v>
      </c>
      <c r="H503" s="4" t="str">
        <f>IF(AND(A503="Yes",C503="School"),COUNTIFS($A$6:A503,"Yes",$C$6:C503,"School"),"")</f>
        <v/>
      </c>
    </row>
    <row r="504" spans="1:8">
      <c r="A504" s="13"/>
      <c r="B504" s="1" t="s">
        <v>862</v>
      </c>
      <c r="C504" s="1" t="s">
        <v>24</v>
      </c>
      <c r="D504" s="1" t="s">
        <v>1024</v>
      </c>
      <c r="E504" s="1" t="s">
        <v>1025</v>
      </c>
      <c r="F504" s="2">
        <v>768</v>
      </c>
      <c r="G504" s="3">
        <v>55.1</v>
      </c>
      <c r="H504" s="4" t="str">
        <f>IF(AND(A504="Yes",C504="School"),COUNTIFS($A$6:A504,"Yes",$C$6:C504,"School"),"")</f>
        <v/>
      </c>
    </row>
    <row r="505" spans="1:8">
      <c r="A505" s="13"/>
      <c r="B505" s="1" t="s">
        <v>862</v>
      </c>
      <c r="C505" s="1" t="s">
        <v>24</v>
      </c>
      <c r="D505" s="1" t="s">
        <v>1026</v>
      </c>
      <c r="E505" s="1" t="s">
        <v>1027</v>
      </c>
      <c r="F505" s="2">
        <v>830</v>
      </c>
      <c r="G505" s="3">
        <v>25.8</v>
      </c>
      <c r="H505" s="4" t="str">
        <f>IF(AND(A505="Yes",C505="School"),COUNTIFS($A$6:A505,"Yes",$C$6:C505,"School"),"")</f>
        <v/>
      </c>
    </row>
    <row r="506" spans="1:8">
      <c r="A506" s="13"/>
      <c r="B506" s="1" t="s">
        <v>862</v>
      </c>
      <c r="C506" s="1" t="s">
        <v>24</v>
      </c>
      <c r="D506" s="1" t="s">
        <v>1028</v>
      </c>
      <c r="E506" s="1" t="s">
        <v>1029</v>
      </c>
      <c r="F506" s="2">
        <v>679</v>
      </c>
      <c r="G506" s="3">
        <v>65.400000000000006</v>
      </c>
      <c r="H506" s="4" t="str">
        <f>IF(AND(A506="Yes",C506="School"),COUNTIFS($A$6:A506,"Yes",$C$6:C506,"School"),"")</f>
        <v/>
      </c>
    </row>
    <row r="507" spans="1:8">
      <c r="A507" s="13"/>
      <c r="B507" s="1" t="s">
        <v>862</v>
      </c>
      <c r="C507" s="1" t="s">
        <v>24</v>
      </c>
      <c r="D507" s="1" t="s">
        <v>1030</v>
      </c>
      <c r="E507" s="1" t="s">
        <v>1031</v>
      </c>
      <c r="F507" s="2">
        <v>1341</v>
      </c>
      <c r="G507" s="3">
        <v>20.6</v>
      </c>
      <c r="H507" s="4" t="str">
        <f>IF(AND(A507="Yes",C507="School"),COUNTIFS($A$6:A507,"Yes",$C$6:C507,"School"),"")</f>
        <v/>
      </c>
    </row>
    <row r="508" spans="1:8">
      <c r="A508" s="13"/>
      <c r="B508" s="1" t="s">
        <v>862</v>
      </c>
      <c r="C508" s="1" t="s">
        <v>24</v>
      </c>
      <c r="D508" s="1" t="s">
        <v>1032</v>
      </c>
      <c r="E508" s="1" t="s">
        <v>1033</v>
      </c>
      <c r="F508" s="2">
        <v>584</v>
      </c>
      <c r="G508" s="3">
        <v>67.5</v>
      </c>
      <c r="H508" s="4" t="str">
        <f>IF(AND(A508="Yes",C508="School"),COUNTIFS($A$6:A508,"Yes",$C$6:C508,"School"),"")</f>
        <v/>
      </c>
    </row>
    <row r="509" spans="1:8">
      <c r="A509" s="13"/>
      <c r="B509" s="1" t="s">
        <v>862</v>
      </c>
      <c r="C509" s="1" t="s">
        <v>24</v>
      </c>
      <c r="D509" s="1" t="s">
        <v>1034</v>
      </c>
      <c r="E509" s="1" t="s">
        <v>1035</v>
      </c>
      <c r="F509" s="2">
        <v>2089</v>
      </c>
      <c r="G509" s="3">
        <v>60.5</v>
      </c>
      <c r="H509" s="4" t="str">
        <f>IF(AND(A509="Yes",C509="School"),COUNTIFS($A$6:A509,"Yes",$C$6:C509,"School"),"")</f>
        <v/>
      </c>
    </row>
    <row r="510" spans="1:8">
      <c r="A510" s="13"/>
      <c r="B510" s="1" t="s">
        <v>862</v>
      </c>
      <c r="C510" s="1" t="s">
        <v>24</v>
      </c>
      <c r="D510" s="1" t="s">
        <v>1036</v>
      </c>
      <c r="E510" s="1" t="s">
        <v>1037</v>
      </c>
      <c r="F510" s="2">
        <v>1048</v>
      </c>
      <c r="G510" s="3">
        <v>42.6</v>
      </c>
      <c r="H510" s="4" t="str">
        <f>IF(AND(A510="Yes",C510="School"),COUNTIFS($A$6:A510,"Yes",$C$6:C510,"School"),"")</f>
        <v/>
      </c>
    </row>
    <row r="511" spans="1:8">
      <c r="A511" s="13"/>
      <c r="B511" s="1" t="s">
        <v>862</v>
      </c>
      <c r="C511" s="1" t="s">
        <v>24</v>
      </c>
      <c r="D511" s="1" t="s">
        <v>1038</v>
      </c>
      <c r="E511" s="1" t="s">
        <v>1039</v>
      </c>
      <c r="F511" s="2">
        <v>674</v>
      </c>
      <c r="G511" s="3">
        <v>20.8</v>
      </c>
      <c r="H511" s="4" t="str">
        <f>IF(AND(A511="Yes",C511="School"),COUNTIFS($A$6:A511,"Yes",$C$6:C511,"School"),"")</f>
        <v/>
      </c>
    </row>
    <row r="512" spans="1:8">
      <c r="A512" s="13"/>
      <c r="B512" s="1" t="s">
        <v>862</v>
      </c>
      <c r="C512" s="1" t="s">
        <v>24</v>
      </c>
      <c r="D512" s="1" t="s">
        <v>1040</v>
      </c>
      <c r="E512" s="1" t="s">
        <v>1041</v>
      </c>
      <c r="F512" s="2">
        <v>654</v>
      </c>
      <c r="G512" s="3">
        <v>52.1</v>
      </c>
      <c r="H512" s="4" t="str">
        <f>IF(AND(A512="Yes",C512="School"),COUNTIFS($A$6:A512,"Yes",$C$6:C512,"School"),"")</f>
        <v/>
      </c>
    </row>
    <row r="513" spans="1:8">
      <c r="A513" s="13"/>
      <c r="B513" s="1" t="s">
        <v>862</v>
      </c>
      <c r="C513" s="1" t="s">
        <v>24</v>
      </c>
      <c r="D513" s="1" t="s">
        <v>1042</v>
      </c>
      <c r="E513" s="1" t="s">
        <v>1043</v>
      </c>
      <c r="F513" s="2">
        <v>590</v>
      </c>
      <c r="G513" s="3">
        <v>36.4</v>
      </c>
      <c r="H513" s="4" t="str">
        <f>IF(AND(A513="Yes",C513="School"),COUNTIFS($A$6:A513,"Yes",$C$6:C513,"School"),"")</f>
        <v/>
      </c>
    </row>
    <row r="514" spans="1:8">
      <c r="A514" s="13"/>
      <c r="B514" s="1" t="s">
        <v>862</v>
      </c>
      <c r="C514" s="1" t="s">
        <v>24</v>
      </c>
      <c r="D514" s="1" t="s">
        <v>1044</v>
      </c>
      <c r="E514" s="1" t="s">
        <v>1045</v>
      </c>
      <c r="F514" s="2">
        <v>712</v>
      </c>
      <c r="G514" s="3">
        <v>69.400000000000006</v>
      </c>
      <c r="H514" s="4" t="str">
        <f>IF(AND(A514="Yes",C514="School"),COUNTIFS($A$6:A514,"Yes",$C$6:C514,"School"),"")</f>
        <v/>
      </c>
    </row>
    <row r="515" spans="1:8">
      <c r="A515" s="13"/>
      <c r="B515" s="1" t="s">
        <v>862</v>
      </c>
      <c r="C515" s="1" t="s">
        <v>24</v>
      </c>
      <c r="D515" s="1" t="s">
        <v>1046</v>
      </c>
      <c r="E515" s="1" t="s">
        <v>1047</v>
      </c>
      <c r="F515" s="2">
        <v>451</v>
      </c>
      <c r="G515" s="3">
        <v>63</v>
      </c>
      <c r="H515" s="4" t="str">
        <f>IF(AND(A515="Yes",C515="School"),COUNTIFS($A$6:A515,"Yes",$C$6:C515,"School"),"")</f>
        <v/>
      </c>
    </row>
    <row r="516" spans="1:8">
      <c r="A516" s="13"/>
      <c r="B516" s="1" t="s">
        <v>862</v>
      </c>
      <c r="C516" s="1" t="s">
        <v>24</v>
      </c>
      <c r="D516" s="1" t="s">
        <v>1048</v>
      </c>
      <c r="E516" s="1" t="s">
        <v>1049</v>
      </c>
      <c r="F516" s="2">
        <v>197</v>
      </c>
      <c r="G516" s="3">
        <v>19.3</v>
      </c>
      <c r="H516" s="4" t="str">
        <f>IF(AND(A516="Yes",C516="School"),COUNTIFS($A$6:A516,"Yes",$C$6:C516,"School"),"")</f>
        <v/>
      </c>
    </row>
    <row r="517" spans="1:8">
      <c r="A517" s="13"/>
      <c r="B517" s="1" t="s">
        <v>862</v>
      </c>
      <c r="C517" s="1" t="s">
        <v>24</v>
      </c>
      <c r="D517" s="1" t="s">
        <v>1050</v>
      </c>
      <c r="E517" s="1" t="s">
        <v>1051</v>
      </c>
      <c r="F517" s="2">
        <v>244</v>
      </c>
      <c r="G517" s="3">
        <v>35.700000000000003</v>
      </c>
      <c r="H517" s="4" t="str">
        <f>IF(AND(A517="Yes",C517="School"),COUNTIFS($A$6:A517,"Yes",$C$6:C517,"School"),"")</f>
        <v/>
      </c>
    </row>
    <row r="518" spans="1:8">
      <c r="A518" s="13"/>
      <c r="B518" s="1" t="s">
        <v>862</v>
      </c>
      <c r="C518" s="1" t="s">
        <v>24</v>
      </c>
      <c r="D518" s="1" t="s">
        <v>1052</v>
      </c>
      <c r="E518" s="1" t="s">
        <v>1053</v>
      </c>
      <c r="F518" s="2">
        <v>502</v>
      </c>
      <c r="G518" s="3">
        <v>64.900000000000006</v>
      </c>
      <c r="H518" s="4" t="str">
        <f>IF(AND(A518="Yes",C518="School"),COUNTIFS($A$6:A518,"Yes",$C$6:C518,"School"),"")</f>
        <v/>
      </c>
    </row>
    <row r="519" spans="1:8">
      <c r="A519" s="13"/>
      <c r="B519" s="1" t="s">
        <v>862</v>
      </c>
      <c r="C519" s="1" t="s">
        <v>24</v>
      </c>
      <c r="D519" s="1" t="s">
        <v>1054</v>
      </c>
      <c r="E519" s="1" t="s">
        <v>1055</v>
      </c>
      <c r="F519" s="2">
        <v>564</v>
      </c>
      <c r="G519" s="3">
        <v>59.4</v>
      </c>
      <c r="H519" s="4" t="str">
        <f>IF(AND(A519="Yes",C519="School"),COUNTIFS($A$6:A519,"Yes",$C$6:C519,"School"),"")</f>
        <v/>
      </c>
    </row>
    <row r="520" spans="1:8">
      <c r="A520" s="13"/>
      <c r="B520" s="1" t="s">
        <v>862</v>
      </c>
      <c r="C520" s="1" t="s">
        <v>24</v>
      </c>
      <c r="D520" s="1" t="s">
        <v>1056</v>
      </c>
      <c r="E520" s="1" t="s">
        <v>1057</v>
      </c>
      <c r="F520" s="2">
        <v>1954</v>
      </c>
      <c r="G520" s="3">
        <v>47.9</v>
      </c>
      <c r="H520" s="4" t="str">
        <f>IF(AND(A520="Yes",C520="School"),COUNTIFS($A$6:A520,"Yes",$C$6:C520,"School"),"")</f>
        <v/>
      </c>
    </row>
    <row r="521" spans="1:8">
      <c r="A521" s="13"/>
      <c r="B521" s="1" t="s">
        <v>862</v>
      </c>
      <c r="C521" s="1" t="s">
        <v>24</v>
      </c>
      <c r="D521" s="1" t="s">
        <v>1058</v>
      </c>
      <c r="E521" s="1" t="s">
        <v>1059</v>
      </c>
      <c r="F521" s="2">
        <v>254</v>
      </c>
      <c r="G521" s="3">
        <v>79.099999999999994</v>
      </c>
      <c r="H521" s="4" t="str">
        <f>IF(AND(A521="Yes",C521="School"),COUNTIFS($A$6:A521,"Yes",$C$6:C521,"School"),"")</f>
        <v/>
      </c>
    </row>
    <row r="522" spans="1:8">
      <c r="A522" s="13"/>
      <c r="B522" s="1" t="s">
        <v>862</v>
      </c>
      <c r="C522" s="1" t="s">
        <v>24</v>
      </c>
      <c r="D522" s="1" t="s">
        <v>1060</v>
      </c>
      <c r="E522" s="1" t="s">
        <v>1061</v>
      </c>
      <c r="F522" s="2">
        <v>848</v>
      </c>
      <c r="G522" s="3">
        <v>55.8</v>
      </c>
      <c r="H522" s="4" t="str">
        <f>IF(AND(A522="Yes",C522="School"),COUNTIFS($A$6:A522,"Yes",$C$6:C522,"School"),"")</f>
        <v/>
      </c>
    </row>
    <row r="523" spans="1:8">
      <c r="A523" s="13"/>
      <c r="B523" s="1" t="s">
        <v>862</v>
      </c>
      <c r="C523" s="1" t="s">
        <v>24</v>
      </c>
      <c r="D523" s="1" t="s">
        <v>1062</v>
      </c>
      <c r="E523" s="1" t="s">
        <v>1063</v>
      </c>
      <c r="F523" s="2">
        <v>716</v>
      </c>
      <c r="G523" s="3">
        <v>28.6</v>
      </c>
      <c r="H523" s="4" t="str">
        <f>IF(AND(A523="Yes",C523="School"),COUNTIFS($A$6:A523,"Yes",$C$6:C523,"School"),"")</f>
        <v/>
      </c>
    </row>
    <row r="524" spans="1:8">
      <c r="A524" s="13"/>
      <c r="B524" s="1" t="s">
        <v>862</v>
      </c>
      <c r="C524" s="1" t="s">
        <v>24</v>
      </c>
      <c r="D524" s="1" t="s">
        <v>1064</v>
      </c>
      <c r="E524" s="1" t="s">
        <v>1065</v>
      </c>
      <c r="F524" s="2">
        <v>528</v>
      </c>
      <c r="G524" s="3">
        <v>29.7</v>
      </c>
      <c r="H524" s="4" t="str">
        <f>IF(AND(A524="Yes",C524="School"),COUNTIFS($A$6:A524,"Yes",$C$6:C524,"School"),"")</f>
        <v/>
      </c>
    </row>
    <row r="525" spans="1:8">
      <c r="A525" s="13"/>
      <c r="B525" s="1" t="s">
        <v>862</v>
      </c>
      <c r="C525" s="1" t="s">
        <v>24</v>
      </c>
      <c r="D525" s="1" t="s">
        <v>1066</v>
      </c>
      <c r="E525" s="1" t="s">
        <v>1067</v>
      </c>
      <c r="F525" s="2">
        <v>1116</v>
      </c>
      <c r="G525" s="3">
        <v>46.9</v>
      </c>
      <c r="H525" s="4" t="str">
        <f>IF(AND(A525="Yes",C525="School"),COUNTIFS($A$6:A525,"Yes",$C$6:C525,"School"),"")</f>
        <v/>
      </c>
    </row>
    <row r="526" spans="1:8">
      <c r="A526" s="13"/>
      <c r="B526" s="1" t="s">
        <v>862</v>
      </c>
      <c r="C526" s="1" t="s">
        <v>24</v>
      </c>
      <c r="D526" s="1" t="s">
        <v>1068</v>
      </c>
      <c r="E526" s="1" t="s">
        <v>1069</v>
      </c>
      <c r="F526" s="2">
        <v>555</v>
      </c>
      <c r="G526" s="3">
        <v>25.8</v>
      </c>
      <c r="H526" s="4" t="str">
        <f>IF(AND(A526="Yes",C526="School"),COUNTIFS($A$6:A526,"Yes",$C$6:C526,"School"),"")</f>
        <v/>
      </c>
    </row>
    <row r="527" spans="1:8">
      <c r="A527" s="13"/>
      <c r="B527" s="1" t="s">
        <v>862</v>
      </c>
      <c r="C527" s="1" t="s">
        <v>24</v>
      </c>
      <c r="D527" s="1" t="s">
        <v>1070</v>
      </c>
      <c r="E527" s="1" t="s">
        <v>1071</v>
      </c>
      <c r="F527" s="2">
        <v>162</v>
      </c>
      <c r="G527" s="3">
        <v>25.3</v>
      </c>
      <c r="H527" s="4" t="str">
        <f>IF(AND(A527="Yes",C527="School"),COUNTIFS($A$6:A527,"Yes",$C$6:C527,"School"),"")</f>
        <v/>
      </c>
    </row>
    <row r="528" spans="1:8">
      <c r="A528" s="13"/>
      <c r="B528" s="1" t="s">
        <v>862</v>
      </c>
      <c r="C528" s="1" t="s">
        <v>24</v>
      </c>
      <c r="D528" s="1" t="s">
        <v>1072</v>
      </c>
      <c r="E528" s="1" t="s">
        <v>1073</v>
      </c>
      <c r="F528" s="2">
        <v>554</v>
      </c>
      <c r="G528" s="3">
        <v>53.2</v>
      </c>
      <c r="H528" s="4" t="str">
        <f>IF(AND(A528="Yes",C528="School"),COUNTIFS($A$6:A528,"Yes",$C$6:C528,"School"),"")</f>
        <v/>
      </c>
    </row>
    <row r="529" spans="1:8">
      <c r="A529" s="13"/>
      <c r="B529" s="1" t="s">
        <v>862</v>
      </c>
      <c r="C529" s="1" t="s">
        <v>24</v>
      </c>
      <c r="D529" s="1" t="s">
        <v>1074</v>
      </c>
      <c r="E529" s="1" t="s">
        <v>1075</v>
      </c>
      <c r="F529" s="2">
        <v>250</v>
      </c>
      <c r="G529" s="3">
        <v>66</v>
      </c>
      <c r="H529" s="4" t="str">
        <f>IF(AND(A529="Yes",C529="School"),COUNTIFS($A$6:A529,"Yes",$C$6:C529,"School"),"")</f>
        <v/>
      </c>
    </row>
    <row r="530" spans="1:8">
      <c r="A530" s="13"/>
      <c r="B530" s="1" t="s">
        <v>862</v>
      </c>
      <c r="C530" s="1" t="s">
        <v>24</v>
      </c>
      <c r="D530" s="1" t="s">
        <v>1076</v>
      </c>
      <c r="E530" s="1" t="s">
        <v>1077</v>
      </c>
      <c r="F530" s="2">
        <v>27</v>
      </c>
      <c r="G530" s="3">
        <v>51.9</v>
      </c>
      <c r="H530" s="4" t="str">
        <f>IF(AND(A530="Yes",C530="School"),COUNTIFS($A$6:A530,"Yes",$C$6:C530,"School"),"")</f>
        <v/>
      </c>
    </row>
    <row r="531" spans="1:8">
      <c r="A531" s="13"/>
      <c r="B531" s="1" t="s">
        <v>862</v>
      </c>
      <c r="C531" s="1" t="s">
        <v>24</v>
      </c>
      <c r="D531" s="1" t="s">
        <v>1078</v>
      </c>
      <c r="E531" s="1" t="s">
        <v>1079</v>
      </c>
      <c r="F531" s="2">
        <v>832</v>
      </c>
      <c r="G531" s="3">
        <v>46.4</v>
      </c>
      <c r="H531" s="4" t="str">
        <f>IF(AND(A531="Yes",C531="School"),COUNTIFS($A$6:A531,"Yes",$C$6:C531,"School"),"")</f>
        <v/>
      </c>
    </row>
    <row r="532" spans="1:8">
      <c r="A532" s="13"/>
      <c r="B532" s="1" t="s">
        <v>862</v>
      </c>
      <c r="C532" s="1" t="s">
        <v>24</v>
      </c>
      <c r="D532" s="1" t="s">
        <v>1080</v>
      </c>
      <c r="E532" s="1" t="s">
        <v>1081</v>
      </c>
      <c r="F532" s="2">
        <v>865</v>
      </c>
      <c r="G532" s="3">
        <v>36.4</v>
      </c>
      <c r="H532" s="4" t="str">
        <f>IF(AND(A532="Yes",C532="School"),COUNTIFS($A$6:A532,"Yes",$C$6:C532,"School"),"")</f>
        <v/>
      </c>
    </row>
    <row r="533" spans="1:8">
      <c r="A533" s="13"/>
      <c r="B533" s="1" t="s">
        <v>862</v>
      </c>
      <c r="C533" s="1" t="s">
        <v>24</v>
      </c>
      <c r="D533" s="1" t="s">
        <v>1082</v>
      </c>
      <c r="E533" s="1" t="s">
        <v>1083</v>
      </c>
      <c r="F533" s="2">
        <v>481</v>
      </c>
      <c r="G533" s="3">
        <v>55.7</v>
      </c>
      <c r="H533" s="4" t="str">
        <f>IF(AND(A533="Yes",C533="School"),COUNTIFS($A$6:A533,"Yes",$C$6:C533,"School"),"")</f>
        <v/>
      </c>
    </row>
    <row r="534" spans="1:8">
      <c r="A534" s="13"/>
      <c r="B534" s="1" t="s">
        <v>862</v>
      </c>
      <c r="C534" s="1" t="s">
        <v>24</v>
      </c>
      <c r="D534" s="1" t="s">
        <v>1084</v>
      </c>
      <c r="E534" s="1" t="s">
        <v>1085</v>
      </c>
      <c r="F534" s="2">
        <v>703</v>
      </c>
      <c r="G534" s="3">
        <v>65.900000000000006</v>
      </c>
      <c r="H534" s="4" t="str">
        <f>IF(AND(A534="Yes",C534="School"),COUNTIFS($A$6:A534,"Yes",$C$6:C534,"School"),"")</f>
        <v/>
      </c>
    </row>
    <row r="535" spans="1:8">
      <c r="A535" s="13"/>
      <c r="B535" s="1" t="s">
        <v>862</v>
      </c>
      <c r="C535" s="1" t="s">
        <v>24</v>
      </c>
      <c r="D535" s="1" t="s">
        <v>1086</v>
      </c>
      <c r="E535" s="1" t="s">
        <v>1087</v>
      </c>
      <c r="F535" s="2">
        <v>2957</v>
      </c>
      <c r="G535" s="3">
        <v>34.799999999999997</v>
      </c>
      <c r="H535" s="4" t="str">
        <f>IF(AND(A535="Yes",C535="School"),COUNTIFS($A$6:A535,"Yes",$C$6:C535,"School"),"")</f>
        <v/>
      </c>
    </row>
    <row r="536" spans="1:8">
      <c r="A536" s="13"/>
      <c r="B536" s="1" t="s">
        <v>862</v>
      </c>
      <c r="C536" s="1" t="s">
        <v>24</v>
      </c>
      <c r="D536" s="1" t="s">
        <v>1088</v>
      </c>
      <c r="E536" s="1" t="s">
        <v>1089</v>
      </c>
      <c r="F536" s="2">
        <v>675</v>
      </c>
      <c r="G536" s="3">
        <v>30.4</v>
      </c>
      <c r="H536" s="4" t="str">
        <f>IF(AND(A536="Yes",C536="School"),COUNTIFS($A$6:A536,"Yes",$C$6:C536,"School"),"")</f>
        <v/>
      </c>
    </row>
    <row r="537" spans="1:8">
      <c r="A537" s="13"/>
      <c r="B537" s="1" t="s">
        <v>862</v>
      </c>
      <c r="C537" s="1" t="s">
        <v>24</v>
      </c>
      <c r="D537" s="1" t="s">
        <v>1090</v>
      </c>
      <c r="E537" s="1" t="s">
        <v>1091</v>
      </c>
      <c r="F537" s="2">
        <v>608</v>
      </c>
      <c r="G537" s="3">
        <v>56.3</v>
      </c>
      <c r="H537" s="4" t="str">
        <f>IF(AND(A537="Yes",C537="School"),COUNTIFS($A$6:A537,"Yes",$C$6:C537,"School"),"")</f>
        <v/>
      </c>
    </row>
    <row r="538" spans="1:8">
      <c r="A538" s="13"/>
      <c r="B538" s="1" t="s">
        <v>862</v>
      </c>
      <c r="C538" s="1" t="s">
        <v>24</v>
      </c>
      <c r="D538" s="1" t="s">
        <v>1092</v>
      </c>
      <c r="E538" s="1" t="s">
        <v>1093</v>
      </c>
      <c r="F538" s="2">
        <v>558</v>
      </c>
      <c r="G538" s="3">
        <v>64.3</v>
      </c>
      <c r="H538" s="4" t="str">
        <f>IF(AND(A538="Yes",C538="School"),COUNTIFS($A$6:A538,"Yes",$C$6:C538,"School"),"")</f>
        <v/>
      </c>
    </row>
    <row r="539" spans="1:8">
      <c r="A539" s="13"/>
      <c r="B539" s="1" t="s">
        <v>862</v>
      </c>
      <c r="C539" s="1" t="s">
        <v>24</v>
      </c>
      <c r="D539" s="1" t="s">
        <v>1094</v>
      </c>
      <c r="E539" s="1" t="s">
        <v>1095</v>
      </c>
      <c r="F539" s="2">
        <v>661</v>
      </c>
      <c r="G539" s="3">
        <v>41.8</v>
      </c>
      <c r="H539" s="4" t="str">
        <f>IF(AND(A539="Yes",C539="School"),COUNTIFS($A$6:A539,"Yes",$C$6:C539,"School"),"")</f>
        <v/>
      </c>
    </row>
    <row r="540" spans="1:8">
      <c r="A540" s="13"/>
      <c r="B540" s="1" t="s">
        <v>862</v>
      </c>
      <c r="C540" s="1" t="s">
        <v>24</v>
      </c>
      <c r="D540" s="1" t="s">
        <v>1096</v>
      </c>
      <c r="E540" s="1" t="s">
        <v>1097</v>
      </c>
      <c r="F540" s="2">
        <v>1792</v>
      </c>
      <c r="G540" s="3">
        <v>47.4</v>
      </c>
      <c r="H540" s="4" t="str">
        <f>IF(AND(A540="Yes",C540="School"),COUNTIFS($A$6:A540,"Yes",$C$6:C540,"School"),"")</f>
        <v/>
      </c>
    </row>
    <row r="541" spans="1:8">
      <c r="A541" s="13"/>
      <c r="B541" s="1" t="s">
        <v>862</v>
      </c>
      <c r="C541" s="1" t="s">
        <v>24</v>
      </c>
      <c r="D541" s="1" t="s">
        <v>1098</v>
      </c>
      <c r="E541" s="1" t="s">
        <v>1099</v>
      </c>
      <c r="F541" s="2">
        <v>561</v>
      </c>
      <c r="G541" s="3">
        <v>54.9</v>
      </c>
      <c r="H541" s="4" t="str">
        <f>IF(AND(A541="Yes",C541="School"),COUNTIFS($A$6:A541,"Yes",$C$6:C541,"School"),"")</f>
        <v/>
      </c>
    </row>
    <row r="542" spans="1:8">
      <c r="A542" s="13"/>
      <c r="B542" s="1" t="s">
        <v>862</v>
      </c>
      <c r="C542" s="1" t="s">
        <v>24</v>
      </c>
      <c r="D542" s="1" t="s">
        <v>1100</v>
      </c>
      <c r="E542" s="1" t="s">
        <v>1101</v>
      </c>
      <c r="F542" s="2">
        <v>999</v>
      </c>
      <c r="G542" s="3">
        <v>55.8</v>
      </c>
      <c r="H542" s="4" t="str">
        <f>IF(AND(A542="Yes",C542="School"),COUNTIFS($A$6:A542,"Yes",$C$6:C542,"School"),"")</f>
        <v/>
      </c>
    </row>
    <row r="543" spans="1:8">
      <c r="A543" s="13"/>
      <c r="B543" s="1" t="s">
        <v>862</v>
      </c>
      <c r="C543" s="1" t="s">
        <v>24</v>
      </c>
      <c r="D543" s="1" t="s">
        <v>1102</v>
      </c>
      <c r="E543" s="1" t="s">
        <v>1103</v>
      </c>
      <c r="F543" s="2">
        <v>565</v>
      </c>
      <c r="G543" s="3">
        <v>37.700000000000003</v>
      </c>
      <c r="H543" s="4" t="str">
        <f>IF(AND(A543="Yes",C543="School"),COUNTIFS($A$6:A543,"Yes",$C$6:C543,"School"),"")</f>
        <v/>
      </c>
    </row>
    <row r="544" spans="1:8">
      <c r="A544" s="13"/>
      <c r="B544" s="1" t="s">
        <v>862</v>
      </c>
      <c r="C544" s="1" t="s">
        <v>24</v>
      </c>
      <c r="D544" s="1" t="s">
        <v>1104</v>
      </c>
      <c r="E544" s="1" t="s">
        <v>1105</v>
      </c>
      <c r="F544" s="2">
        <v>532</v>
      </c>
      <c r="G544" s="3">
        <v>72.400000000000006</v>
      </c>
      <c r="H544" s="4" t="str">
        <f>IF(AND(A544="Yes",C544="School"),COUNTIFS($A$6:A544,"Yes",$C$6:C544,"School"),"")</f>
        <v/>
      </c>
    </row>
    <row r="545" spans="1:8">
      <c r="A545" s="13"/>
      <c r="B545" s="1" t="s">
        <v>862</v>
      </c>
      <c r="C545" s="1" t="s">
        <v>24</v>
      </c>
      <c r="D545" s="1" t="s">
        <v>1106</v>
      </c>
      <c r="E545" s="1" t="s">
        <v>1107</v>
      </c>
      <c r="F545" s="2">
        <v>495</v>
      </c>
      <c r="G545" s="3">
        <v>62.2</v>
      </c>
      <c r="H545" s="4" t="str">
        <f>IF(AND(A545="Yes",C545="School"),COUNTIFS($A$6:A545,"Yes",$C$6:C545,"School"),"")</f>
        <v/>
      </c>
    </row>
    <row r="546" spans="1:8">
      <c r="A546" s="13"/>
      <c r="B546" s="1" t="s">
        <v>862</v>
      </c>
      <c r="C546" s="1" t="s">
        <v>24</v>
      </c>
      <c r="D546" s="1" t="s">
        <v>1108</v>
      </c>
      <c r="E546" s="1" t="s">
        <v>1109</v>
      </c>
      <c r="F546" s="2">
        <v>535</v>
      </c>
      <c r="G546" s="3">
        <v>50.7</v>
      </c>
      <c r="H546" s="4" t="str">
        <f>IF(AND(A546="Yes",C546="School"),COUNTIFS($A$6:A546,"Yes",$C$6:C546,"School"),"")</f>
        <v/>
      </c>
    </row>
    <row r="547" spans="1:8">
      <c r="A547" s="13"/>
      <c r="B547" s="1" t="s">
        <v>862</v>
      </c>
      <c r="C547" s="1" t="s">
        <v>24</v>
      </c>
      <c r="D547" s="1" t="s">
        <v>1110</v>
      </c>
      <c r="E547" s="1" t="s">
        <v>1111</v>
      </c>
      <c r="F547" s="2">
        <v>674</v>
      </c>
      <c r="G547" s="3">
        <v>20.2</v>
      </c>
      <c r="H547" s="4" t="str">
        <f>IF(AND(A547="Yes",C547="School"),COUNTIFS($A$6:A547,"Yes",$C$6:C547,"School"),"")</f>
        <v/>
      </c>
    </row>
    <row r="548" spans="1:8">
      <c r="A548" s="13"/>
      <c r="B548" s="1" t="s">
        <v>862</v>
      </c>
      <c r="C548" s="1" t="s">
        <v>24</v>
      </c>
      <c r="D548" s="1" t="s">
        <v>1112</v>
      </c>
      <c r="E548" s="1" t="s">
        <v>1113</v>
      </c>
      <c r="F548" s="2">
        <v>1293</v>
      </c>
      <c r="G548" s="3">
        <v>45.5</v>
      </c>
      <c r="H548" s="4" t="str">
        <f>IF(AND(A548="Yes",C548="School"),COUNTIFS($A$6:A548,"Yes",$C$6:C548,"School"),"")</f>
        <v/>
      </c>
    </row>
    <row r="549" spans="1:8">
      <c r="A549" s="13"/>
      <c r="B549" s="1" t="s">
        <v>862</v>
      </c>
      <c r="C549" s="1" t="s">
        <v>24</v>
      </c>
      <c r="D549" s="1" t="s">
        <v>1114</v>
      </c>
      <c r="E549" s="1" t="s">
        <v>1115</v>
      </c>
      <c r="F549" s="2">
        <v>2287</v>
      </c>
      <c r="G549" s="3">
        <v>53.3</v>
      </c>
      <c r="H549" s="4" t="str">
        <f>IF(AND(A549="Yes",C549="School"),COUNTIFS($A$6:A549,"Yes",$C$6:C549,"School"),"")</f>
        <v/>
      </c>
    </row>
    <row r="550" spans="1:8">
      <c r="A550" s="13"/>
      <c r="B550" s="1" t="s">
        <v>862</v>
      </c>
      <c r="C550" s="1" t="s">
        <v>24</v>
      </c>
      <c r="D550" s="1" t="s">
        <v>1116</v>
      </c>
      <c r="E550" s="1" t="s">
        <v>1117</v>
      </c>
      <c r="F550" s="2">
        <v>942</v>
      </c>
      <c r="G550" s="3">
        <v>43.2</v>
      </c>
      <c r="H550" s="4" t="str">
        <f>IF(AND(A550="Yes",C550="School"),COUNTIFS($A$6:A550,"Yes",$C$6:C550,"School"),"")</f>
        <v/>
      </c>
    </row>
    <row r="551" spans="1:8">
      <c r="A551" s="13"/>
      <c r="B551" s="1" t="s">
        <v>862</v>
      </c>
      <c r="C551" s="1" t="s">
        <v>24</v>
      </c>
      <c r="D551" s="1" t="s">
        <v>1118</v>
      </c>
      <c r="E551" s="1" t="s">
        <v>1119</v>
      </c>
      <c r="F551" s="2">
        <v>784</v>
      </c>
      <c r="G551" s="3">
        <v>61</v>
      </c>
      <c r="H551" s="4" t="str">
        <f>IF(AND(A551="Yes",C551="School"),COUNTIFS($A$6:A551,"Yes",$C$6:C551,"School"),"")</f>
        <v/>
      </c>
    </row>
    <row r="552" spans="1:8">
      <c r="A552" s="13"/>
      <c r="B552" s="1" t="s">
        <v>862</v>
      </c>
      <c r="C552" s="1" t="s">
        <v>24</v>
      </c>
      <c r="D552" s="1" t="s">
        <v>1120</v>
      </c>
      <c r="E552" s="1" t="s">
        <v>1121</v>
      </c>
      <c r="F552" s="2">
        <v>1436</v>
      </c>
      <c r="G552" s="3">
        <v>46.3</v>
      </c>
      <c r="H552" s="4" t="str">
        <f>IF(AND(A552="Yes",C552="School"),COUNTIFS($A$6:A552,"Yes",$C$6:C552,"School"),"")</f>
        <v/>
      </c>
    </row>
    <row r="553" spans="1:8">
      <c r="A553" s="13"/>
      <c r="B553" s="1" t="s">
        <v>862</v>
      </c>
      <c r="C553" s="1" t="s">
        <v>24</v>
      </c>
      <c r="D553" s="1" t="s">
        <v>1122</v>
      </c>
      <c r="E553" s="1" t="s">
        <v>1123</v>
      </c>
      <c r="F553" s="2">
        <v>1123</v>
      </c>
      <c r="G553" s="3">
        <v>51.8</v>
      </c>
      <c r="H553" s="4" t="str">
        <f>IF(AND(A553="Yes",C553="School"),COUNTIFS($A$6:A553,"Yes",$C$6:C553,"School"),"")</f>
        <v/>
      </c>
    </row>
    <row r="554" spans="1:8">
      <c r="A554" s="13"/>
      <c r="B554" s="1" t="s">
        <v>862</v>
      </c>
      <c r="C554" s="1" t="s">
        <v>24</v>
      </c>
      <c r="D554" s="1" t="s">
        <v>1124</v>
      </c>
      <c r="E554" s="1" t="s">
        <v>1125</v>
      </c>
      <c r="F554" s="2">
        <v>694</v>
      </c>
      <c r="G554" s="3">
        <v>45.7</v>
      </c>
      <c r="H554" s="4" t="str">
        <f>IF(AND(A554="Yes",C554="School"),COUNTIFS($A$6:A554,"Yes",$C$6:C554,"School"),"")</f>
        <v/>
      </c>
    </row>
    <row r="555" spans="1:8">
      <c r="A555" s="13"/>
      <c r="B555" s="1" t="s">
        <v>862</v>
      </c>
      <c r="C555" s="1" t="s">
        <v>24</v>
      </c>
      <c r="D555" s="1" t="s">
        <v>1126</v>
      </c>
      <c r="E555" s="1" t="s">
        <v>1127</v>
      </c>
      <c r="F555" s="2">
        <v>581</v>
      </c>
      <c r="G555" s="3">
        <v>62.1</v>
      </c>
      <c r="H555" s="4" t="str">
        <f>IF(AND(A555="Yes",C555="School"),COUNTIFS($A$6:A555,"Yes",$C$6:C555,"School"),"")</f>
        <v/>
      </c>
    </row>
    <row r="556" spans="1:8">
      <c r="A556" s="13"/>
      <c r="B556" s="1" t="s">
        <v>862</v>
      </c>
      <c r="C556" s="1" t="s">
        <v>24</v>
      </c>
      <c r="D556" s="1" t="s">
        <v>1128</v>
      </c>
      <c r="E556" s="1" t="s">
        <v>1129</v>
      </c>
      <c r="F556" s="2">
        <v>436</v>
      </c>
      <c r="G556" s="3">
        <v>66.099999999999994</v>
      </c>
      <c r="H556" s="4" t="str">
        <f>IF(AND(A556="Yes",C556="School"),COUNTIFS($A$6:A556,"Yes",$C$6:C556,"School"),"")</f>
        <v/>
      </c>
    </row>
    <row r="557" spans="1:8">
      <c r="A557" s="13"/>
      <c r="B557" s="1" t="s">
        <v>862</v>
      </c>
      <c r="C557" s="1" t="s">
        <v>24</v>
      </c>
      <c r="D557" s="1" t="s">
        <v>1130</v>
      </c>
      <c r="E557" s="1" t="s">
        <v>1131</v>
      </c>
      <c r="F557" s="2">
        <v>748</v>
      </c>
      <c r="G557" s="3">
        <v>15.9</v>
      </c>
      <c r="H557" s="4" t="str">
        <f>IF(AND(A557="Yes",C557="School"),COUNTIFS($A$6:A557,"Yes",$C$6:C557,"School"),"")</f>
        <v/>
      </c>
    </row>
    <row r="558" spans="1:8">
      <c r="A558" s="13"/>
      <c r="B558" s="1" t="s">
        <v>862</v>
      </c>
      <c r="C558" s="1" t="s">
        <v>24</v>
      </c>
      <c r="D558" s="1" t="s">
        <v>1132</v>
      </c>
      <c r="E558" s="1" t="s">
        <v>1133</v>
      </c>
      <c r="F558" s="2">
        <v>2165</v>
      </c>
      <c r="G558" s="3">
        <v>14.5</v>
      </c>
      <c r="H558" s="4" t="str">
        <f>IF(AND(A558="Yes",C558="School"),COUNTIFS($A$6:A558,"Yes",$C$6:C558,"School"),"")</f>
        <v/>
      </c>
    </row>
    <row r="559" spans="1:8">
      <c r="A559" s="13"/>
      <c r="B559" s="1" t="s">
        <v>862</v>
      </c>
      <c r="C559" s="1" t="s">
        <v>24</v>
      </c>
      <c r="D559" s="1" t="s">
        <v>1134</v>
      </c>
      <c r="E559" s="1" t="s">
        <v>1135</v>
      </c>
      <c r="F559" s="2">
        <v>634</v>
      </c>
      <c r="G559" s="3">
        <v>6</v>
      </c>
      <c r="H559" s="4" t="str">
        <f>IF(AND(A559="Yes",C559="School"),COUNTIFS($A$6:A559,"Yes",$C$6:C559,"School"),"")</f>
        <v/>
      </c>
    </row>
    <row r="560" spans="1:8">
      <c r="A560" s="13"/>
      <c r="B560" s="1" t="s">
        <v>862</v>
      </c>
      <c r="C560" s="1" t="s">
        <v>24</v>
      </c>
      <c r="D560" s="1" t="s">
        <v>1136</v>
      </c>
      <c r="E560" s="1" t="s">
        <v>1137</v>
      </c>
      <c r="F560" s="2">
        <v>1046</v>
      </c>
      <c r="G560" s="3">
        <v>44.7</v>
      </c>
      <c r="H560" s="4" t="str">
        <f>IF(AND(A560="Yes",C560="School"),COUNTIFS($A$6:A560,"Yes",$C$6:C560,"School"),"")</f>
        <v/>
      </c>
    </row>
    <row r="561" spans="1:8">
      <c r="A561" s="13"/>
      <c r="B561" s="1" t="s">
        <v>862</v>
      </c>
      <c r="C561" s="1" t="s">
        <v>24</v>
      </c>
      <c r="D561" s="1" t="s">
        <v>1138</v>
      </c>
      <c r="E561" s="1" t="s">
        <v>1139</v>
      </c>
      <c r="F561" s="2">
        <v>588</v>
      </c>
      <c r="G561" s="3">
        <v>54.1</v>
      </c>
      <c r="H561" s="4" t="str">
        <f>IF(AND(A561="Yes",C561="School"),COUNTIFS($A$6:A561,"Yes",$C$6:C561,"School"),"")</f>
        <v/>
      </c>
    </row>
    <row r="562" spans="1:8">
      <c r="A562" s="13"/>
      <c r="B562" s="1" t="s">
        <v>862</v>
      </c>
      <c r="C562" s="1" t="s">
        <v>24</v>
      </c>
      <c r="D562" s="1" t="s">
        <v>1140</v>
      </c>
      <c r="E562" s="1" t="s">
        <v>1141</v>
      </c>
      <c r="F562" s="2">
        <v>1106</v>
      </c>
      <c r="G562" s="3">
        <v>47.8</v>
      </c>
      <c r="H562" s="4" t="str">
        <f>IF(AND(A562="Yes",C562="School"),COUNTIFS($A$6:A562,"Yes",$C$6:C562,"School"),"")</f>
        <v/>
      </c>
    </row>
    <row r="563" spans="1:8">
      <c r="A563" s="13"/>
      <c r="B563" s="1" t="s">
        <v>862</v>
      </c>
      <c r="C563" s="1" t="s">
        <v>24</v>
      </c>
      <c r="D563" s="1" t="s">
        <v>1142</v>
      </c>
      <c r="E563" s="1" t="s">
        <v>1143</v>
      </c>
      <c r="F563" s="2">
        <v>761</v>
      </c>
      <c r="G563" s="3">
        <v>66.5</v>
      </c>
      <c r="H563" s="4" t="str">
        <f>IF(AND(A563="Yes",C563="School"),COUNTIFS($A$6:A563,"Yes",$C$6:C563,"School"),"")</f>
        <v/>
      </c>
    </row>
    <row r="564" spans="1:8">
      <c r="A564" s="13"/>
      <c r="B564" s="1" t="s">
        <v>862</v>
      </c>
      <c r="C564" s="1" t="s">
        <v>24</v>
      </c>
      <c r="D564" s="1" t="s">
        <v>1144</v>
      </c>
      <c r="E564" s="1" t="s">
        <v>1145</v>
      </c>
      <c r="F564" s="2">
        <v>1082</v>
      </c>
      <c r="G564" s="3">
        <v>15.4</v>
      </c>
      <c r="H564" s="4" t="str">
        <f>IF(AND(A564="Yes",C564="School"),COUNTIFS($A$6:A564,"Yes",$C$6:C564,"School"),"")</f>
        <v/>
      </c>
    </row>
    <row r="565" spans="1:8">
      <c r="A565" s="13"/>
      <c r="B565" s="1" t="s">
        <v>862</v>
      </c>
      <c r="C565" s="1" t="s">
        <v>24</v>
      </c>
      <c r="D565" s="1" t="s">
        <v>1146</v>
      </c>
      <c r="E565" s="1" t="s">
        <v>1147</v>
      </c>
      <c r="F565" s="2">
        <v>840</v>
      </c>
      <c r="G565" s="3">
        <v>55.7</v>
      </c>
      <c r="H565" s="4" t="str">
        <f>IF(AND(A565="Yes",C565="School"),COUNTIFS($A$6:A565,"Yes",$C$6:C565,"School"),"")</f>
        <v/>
      </c>
    </row>
    <row r="566" spans="1:8">
      <c r="A566" s="13"/>
      <c r="B566" s="1" t="s">
        <v>862</v>
      </c>
      <c r="C566" s="1" t="s">
        <v>24</v>
      </c>
      <c r="D566" s="1" t="s">
        <v>1148</v>
      </c>
      <c r="E566" s="1" t="s">
        <v>1149</v>
      </c>
      <c r="F566" s="2">
        <v>401</v>
      </c>
      <c r="G566" s="3">
        <v>69.099999999999994</v>
      </c>
      <c r="H566" s="4" t="str">
        <f>IF(AND(A566="Yes",C566="School"),COUNTIFS($A$6:A566,"Yes",$C$6:C566,"School"),"")</f>
        <v/>
      </c>
    </row>
    <row r="567" spans="1:8">
      <c r="A567" s="13"/>
      <c r="B567" s="1" t="s">
        <v>862</v>
      </c>
      <c r="C567" s="1" t="s">
        <v>24</v>
      </c>
      <c r="D567" s="1" t="s">
        <v>1150</v>
      </c>
      <c r="E567" s="1" t="s">
        <v>1151</v>
      </c>
      <c r="F567" s="2">
        <v>684</v>
      </c>
      <c r="G567" s="3">
        <v>78.2</v>
      </c>
      <c r="H567" s="4" t="str">
        <f>IF(AND(A567="Yes",C567="School"),COUNTIFS($A$6:A567,"Yes",$C$6:C567,"School"),"")</f>
        <v/>
      </c>
    </row>
    <row r="568" spans="1:8">
      <c r="A568" s="13"/>
      <c r="B568" s="1" t="s">
        <v>862</v>
      </c>
      <c r="C568" s="1" t="s">
        <v>24</v>
      </c>
      <c r="D568" s="1" t="s">
        <v>1152</v>
      </c>
      <c r="E568" s="1" t="s">
        <v>1153</v>
      </c>
      <c r="F568" s="2">
        <v>912</v>
      </c>
      <c r="G568" s="3">
        <v>59</v>
      </c>
      <c r="H568" s="4" t="str">
        <f>IF(AND(A568="Yes",C568="School"),COUNTIFS($A$6:A568,"Yes",$C$6:C568,"School"),"")</f>
        <v/>
      </c>
    </row>
    <row r="569" spans="1:8">
      <c r="A569" s="13"/>
      <c r="B569" s="1" t="s">
        <v>862</v>
      </c>
      <c r="C569" s="1" t="s">
        <v>24</v>
      </c>
      <c r="D569" s="1" t="s">
        <v>1154</v>
      </c>
      <c r="E569" s="1" t="s">
        <v>1155</v>
      </c>
      <c r="F569" s="2">
        <v>662</v>
      </c>
      <c r="G569" s="3">
        <v>41.8</v>
      </c>
      <c r="H569" s="4" t="str">
        <f>IF(AND(A569="Yes",C569="School"),COUNTIFS($A$6:A569,"Yes",$C$6:C569,"School"),"")</f>
        <v/>
      </c>
    </row>
    <row r="570" spans="1:8">
      <c r="A570" s="13"/>
      <c r="B570" s="1" t="s">
        <v>862</v>
      </c>
      <c r="C570" s="1" t="s">
        <v>24</v>
      </c>
      <c r="D570" s="1" t="s">
        <v>1156</v>
      </c>
      <c r="E570" s="1" t="s">
        <v>1157</v>
      </c>
      <c r="F570" s="2">
        <v>583</v>
      </c>
      <c r="G570" s="3">
        <v>66.400000000000006</v>
      </c>
      <c r="H570" s="4" t="str">
        <f>IF(AND(A570="Yes",C570="School"),COUNTIFS($A$6:A570,"Yes",$C$6:C570,"School"),"")</f>
        <v/>
      </c>
    </row>
    <row r="571" spans="1:8">
      <c r="A571" s="13"/>
      <c r="B571" s="1" t="s">
        <v>862</v>
      </c>
      <c r="C571" s="1" t="s">
        <v>24</v>
      </c>
      <c r="D571" s="1" t="s">
        <v>1158</v>
      </c>
      <c r="E571" s="1" t="s">
        <v>1159</v>
      </c>
      <c r="F571" s="2">
        <v>1412</v>
      </c>
      <c r="G571" s="3">
        <v>55</v>
      </c>
      <c r="H571" s="4" t="str">
        <f>IF(AND(A571="Yes",C571="School"),COUNTIFS($A$6:A571,"Yes",$C$6:C571,"School"),"")</f>
        <v/>
      </c>
    </row>
    <row r="572" spans="1:8">
      <c r="A572" s="13"/>
      <c r="B572" s="1" t="s">
        <v>862</v>
      </c>
      <c r="C572" s="1" t="s">
        <v>24</v>
      </c>
      <c r="D572" s="1" t="s">
        <v>1160</v>
      </c>
      <c r="E572" s="1" t="s">
        <v>1161</v>
      </c>
      <c r="F572" s="2">
        <v>609</v>
      </c>
      <c r="G572" s="3">
        <v>38.799999999999997</v>
      </c>
      <c r="H572" s="4" t="str">
        <f>IF(AND(A572="Yes",C572="School"),COUNTIFS($A$6:A572,"Yes",$C$6:C572,"School"),"")</f>
        <v/>
      </c>
    </row>
    <row r="573" spans="1:8">
      <c r="A573" s="13"/>
      <c r="B573" s="1" t="s">
        <v>862</v>
      </c>
      <c r="C573" s="1" t="s">
        <v>24</v>
      </c>
      <c r="D573" s="1" t="s">
        <v>1162</v>
      </c>
      <c r="E573" s="1" t="s">
        <v>1163</v>
      </c>
      <c r="F573" s="2">
        <v>479</v>
      </c>
      <c r="G573" s="3">
        <v>18</v>
      </c>
      <c r="H573" s="4" t="str">
        <f>IF(AND(A573="Yes",C573="School"),COUNTIFS($A$6:A573,"Yes",$C$6:C573,"School"),"")</f>
        <v/>
      </c>
    </row>
    <row r="574" spans="1:8">
      <c r="A574" s="13"/>
      <c r="B574" s="1" t="s">
        <v>862</v>
      </c>
      <c r="C574" s="1" t="s">
        <v>24</v>
      </c>
      <c r="D574" s="1" t="s">
        <v>1164</v>
      </c>
      <c r="E574" s="1" t="s">
        <v>1165</v>
      </c>
      <c r="F574" s="2">
        <v>667</v>
      </c>
      <c r="G574" s="3">
        <v>16</v>
      </c>
      <c r="H574" s="4" t="str">
        <f>IF(AND(A574="Yes",C574="School"),COUNTIFS($A$6:A574,"Yes",$C$6:C574,"School"),"")</f>
        <v/>
      </c>
    </row>
    <row r="575" spans="1:8">
      <c r="A575" s="13"/>
      <c r="B575" s="1" t="s">
        <v>862</v>
      </c>
      <c r="C575" s="1" t="s">
        <v>24</v>
      </c>
      <c r="D575" s="1" t="s">
        <v>1166</v>
      </c>
      <c r="E575" s="1" t="s">
        <v>1167</v>
      </c>
      <c r="F575" s="2">
        <v>570</v>
      </c>
      <c r="G575" s="3">
        <v>28.6</v>
      </c>
      <c r="H575" s="4" t="str">
        <f>IF(AND(A575="Yes",C575="School"),COUNTIFS($A$6:A575,"Yes",$C$6:C575,"School"),"")</f>
        <v/>
      </c>
    </row>
    <row r="576" spans="1:8">
      <c r="A576" s="13"/>
      <c r="B576" s="1" t="s">
        <v>862</v>
      </c>
      <c r="C576" s="1" t="s">
        <v>24</v>
      </c>
      <c r="D576" s="1" t="s">
        <v>1168</v>
      </c>
      <c r="E576" s="1" t="s">
        <v>1169</v>
      </c>
      <c r="F576" s="2">
        <v>699</v>
      </c>
      <c r="G576" s="3">
        <v>18.2</v>
      </c>
      <c r="H576" s="4" t="str">
        <f>IF(AND(A576="Yes",C576="School"),COUNTIFS($A$6:A576,"Yes",$C$6:C576,"School"),"")</f>
        <v/>
      </c>
    </row>
    <row r="577" spans="1:8">
      <c r="A577" s="13"/>
      <c r="B577" s="1" t="s">
        <v>862</v>
      </c>
      <c r="C577" s="1" t="s">
        <v>24</v>
      </c>
      <c r="D577" s="1" t="s">
        <v>1170</v>
      </c>
      <c r="E577" s="1" t="s">
        <v>1171</v>
      </c>
      <c r="F577" s="2">
        <v>670</v>
      </c>
      <c r="G577" s="3">
        <v>44</v>
      </c>
      <c r="H577" s="4" t="str">
        <f>IF(AND(A577="Yes",C577="School"),COUNTIFS($A$6:A577,"Yes",$C$6:C577,"School"),"")</f>
        <v/>
      </c>
    </row>
    <row r="578" spans="1:8">
      <c r="A578" s="13"/>
      <c r="B578" s="1" t="s">
        <v>862</v>
      </c>
      <c r="C578" s="1" t="s">
        <v>24</v>
      </c>
      <c r="D578" s="1" t="s">
        <v>1172</v>
      </c>
      <c r="E578" s="1" t="s">
        <v>1173</v>
      </c>
      <c r="F578" s="2">
        <v>1219</v>
      </c>
      <c r="G578" s="3">
        <v>34.1</v>
      </c>
      <c r="H578" s="4" t="str">
        <f>IF(AND(A578="Yes",C578="School"),COUNTIFS($A$6:A578,"Yes",$C$6:C578,"School"),"")</f>
        <v/>
      </c>
    </row>
    <row r="579" spans="1:8">
      <c r="A579" s="13"/>
      <c r="B579" s="1" t="s">
        <v>862</v>
      </c>
      <c r="C579" s="1" t="s">
        <v>24</v>
      </c>
      <c r="D579" s="1" t="s">
        <v>1174</v>
      </c>
      <c r="E579" s="1" t="s">
        <v>1175</v>
      </c>
      <c r="F579" s="2">
        <v>800</v>
      </c>
      <c r="G579" s="3">
        <v>22.8</v>
      </c>
      <c r="H579" s="4" t="str">
        <f>IF(AND(A579="Yes",C579="School"),COUNTIFS($A$6:A579,"Yes",$C$6:C579,"School"),"")</f>
        <v/>
      </c>
    </row>
    <row r="580" spans="1:8">
      <c r="A580" s="13"/>
      <c r="B580" s="1" t="s">
        <v>862</v>
      </c>
      <c r="C580" s="1" t="s">
        <v>24</v>
      </c>
      <c r="D580" s="1" t="s">
        <v>1176</v>
      </c>
      <c r="E580" s="1" t="s">
        <v>1177</v>
      </c>
      <c r="F580" s="2">
        <v>2190</v>
      </c>
      <c r="G580" s="3">
        <v>44</v>
      </c>
      <c r="H580" s="4" t="str">
        <f>IF(AND(A580="Yes",C580="School"),COUNTIFS($A$6:A580,"Yes",$C$6:C580,"School"),"")</f>
        <v/>
      </c>
    </row>
    <row r="581" spans="1:8">
      <c r="A581" s="13"/>
      <c r="B581" s="1" t="s">
        <v>862</v>
      </c>
      <c r="C581" s="1" t="s">
        <v>24</v>
      </c>
      <c r="D581" s="1" t="s">
        <v>1178</v>
      </c>
      <c r="E581" s="1" t="s">
        <v>1179</v>
      </c>
      <c r="F581" s="2">
        <v>742</v>
      </c>
      <c r="G581" s="3">
        <v>60.4</v>
      </c>
      <c r="H581" s="4" t="str">
        <f>IF(AND(A581="Yes",C581="School"),COUNTIFS($A$6:A581,"Yes",$C$6:C581,"School"),"")</f>
        <v/>
      </c>
    </row>
    <row r="582" spans="1:8">
      <c r="A582" s="13"/>
      <c r="B582" s="1" t="s">
        <v>862</v>
      </c>
      <c r="C582" s="1" t="s">
        <v>24</v>
      </c>
      <c r="D582" s="1" t="s">
        <v>1180</v>
      </c>
      <c r="E582" s="1" t="s">
        <v>1181</v>
      </c>
      <c r="F582" s="2">
        <v>1118</v>
      </c>
      <c r="G582" s="3">
        <v>43.3</v>
      </c>
      <c r="H582" s="4" t="str">
        <f>IF(AND(A582="Yes",C582="School"),COUNTIFS($A$6:A582,"Yes",$C$6:C582,"School"),"")</f>
        <v/>
      </c>
    </row>
    <row r="583" spans="1:8">
      <c r="A583" s="13"/>
      <c r="B583" s="1" t="s">
        <v>862</v>
      </c>
      <c r="C583" s="1" t="s">
        <v>24</v>
      </c>
      <c r="D583" s="1" t="s">
        <v>1182</v>
      </c>
      <c r="E583" s="1" t="s">
        <v>1183</v>
      </c>
      <c r="F583" s="2">
        <v>372</v>
      </c>
      <c r="G583" s="3">
        <v>58.6</v>
      </c>
      <c r="H583" s="4" t="str">
        <f>IF(AND(A583="Yes",C583="School"),COUNTIFS($A$6:A583,"Yes",$C$6:C583,"School"),"")</f>
        <v/>
      </c>
    </row>
    <row r="584" spans="1:8">
      <c r="A584" s="13"/>
      <c r="B584" s="1" t="s">
        <v>862</v>
      </c>
      <c r="C584" s="1" t="s">
        <v>24</v>
      </c>
      <c r="D584" s="1" t="s">
        <v>1184</v>
      </c>
      <c r="E584" s="1" t="s">
        <v>1185</v>
      </c>
      <c r="F584" s="2">
        <v>531</v>
      </c>
      <c r="G584" s="3">
        <v>70.099999999999994</v>
      </c>
      <c r="H584" s="4" t="str">
        <f>IF(AND(A584="Yes",C584="School"),COUNTIFS($A$6:A584,"Yes",$C$6:C584,"School"),"")</f>
        <v/>
      </c>
    </row>
    <row r="585" spans="1:8">
      <c r="A585" s="13"/>
      <c r="B585" s="1" t="s">
        <v>862</v>
      </c>
      <c r="C585" s="1" t="s">
        <v>24</v>
      </c>
      <c r="D585" s="1" t="s">
        <v>1186</v>
      </c>
      <c r="E585" s="1" t="s">
        <v>1187</v>
      </c>
      <c r="F585" s="2">
        <v>599</v>
      </c>
      <c r="G585" s="3">
        <v>51.4</v>
      </c>
      <c r="H585" s="4" t="str">
        <f>IF(AND(A585="Yes",C585="School"),COUNTIFS($A$6:A585,"Yes",$C$6:C585,"School"),"")</f>
        <v/>
      </c>
    </row>
    <row r="586" spans="1:8">
      <c r="A586" s="13"/>
      <c r="B586" s="1" t="s">
        <v>862</v>
      </c>
      <c r="C586" s="1" t="s">
        <v>24</v>
      </c>
      <c r="D586" s="1" t="s">
        <v>1188</v>
      </c>
      <c r="E586" s="1" t="s">
        <v>1189</v>
      </c>
      <c r="F586" s="2">
        <v>748</v>
      </c>
      <c r="G586" s="3">
        <v>49.5</v>
      </c>
      <c r="H586" s="4" t="str">
        <f>IF(AND(A586="Yes",C586="School"),COUNTIFS($A$6:A586,"Yes",$C$6:C586,"School"),"")</f>
        <v/>
      </c>
    </row>
    <row r="587" spans="1:8">
      <c r="A587" s="13"/>
      <c r="B587" s="1" t="s">
        <v>862</v>
      </c>
      <c r="C587" s="1" t="s">
        <v>24</v>
      </c>
      <c r="D587" s="1" t="s">
        <v>751</v>
      </c>
      <c r="E587" s="1" t="s">
        <v>1190</v>
      </c>
      <c r="F587" s="2">
        <v>738</v>
      </c>
      <c r="G587" s="3">
        <v>68</v>
      </c>
      <c r="H587" s="4" t="str">
        <f>IF(AND(A587="Yes",C587="School"),COUNTIFS($A$6:A587,"Yes",$C$6:C587,"School"),"")</f>
        <v/>
      </c>
    </row>
    <row r="588" spans="1:8">
      <c r="A588" s="13"/>
      <c r="B588" s="1" t="s">
        <v>862</v>
      </c>
      <c r="C588" s="1" t="s">
        <v>24</v>
      </c>
      <c r="D588" s="1" t="s">
        <v>1191</v>
      </c>
      <c r="E588" s="1" t="s">
        <v>1192</v>
      </c>
      <c r="F588" s="2">
        <v>596</v>
      </c>
      <c r="G588" s="3">
        <v>67.400000000000006</v>
      </c>
      <c r="H588" s="4" t="str">
        <f>IF(AND(A588="Yes",C588="School"),COUNTIFS($A$6:A588,"Yes",$C$6:C588,"School"),"")</f>
        <v/>
      </c>
    </row>
    <row r="589" spans="1:8">
      <c r="A589" s="13"/>
      <c r="B589" s="1" t="s">
        <v>862</v>
      </c>
      <c r="C589" s="1" t="s">
        <v>24</v>
      </c>
      <c r="D589" s="1" t="s">
        <v>1193</v>
      </c>
      <c r="E589" s="1" t="s">
        <v>1194</v>
      </c>
      <c r="F589" s="2">
        <v>672</v>
      </c>
      <c r="G589" s="3">
        <v>42</v>
      </c>
      <c r="H589" s="4" t="str">
        <f>IF(AND(A589="Yes",C589="School"),COUNTIFS($A$6:A589,"Yes",$C$6:C589,"School"),"")</f>
        <v/>
      </c>
    </row>
    <row r="590" spans="1:8">
      <c r="A590" s="13"/>
      <c r="B590" s="1" t="s">
        <v>862</v>
      </c>
      <c r="C590" s="1" t="s">
        <v>24</v>
      </c>
      <c r="D590" s="1" t="s">
        <v>1195</v>
      </c>
      <c r="E590" s="1" t="s">
        <v>1196</v>
      </c>
      <c r="F590" s="2">
        <v>550</v>
      </c>
      <c r="G590" s="3">
        <v>66</v>
      </c>
      <c r="H590" s="4" t="str">
        <f>IF(AND(A590="Yes",C590="School"),COUNTIFS($A$6:A590,"Yes",$C$6:C590,"School"),"")</f>
        <v/>
      </c>
    </row>
    <row r="591" spans="1:8">
      <c r="A591" s="13"/>
      <c r="B591" s="1" t="s">
        <v>862</v>
      </c>
      <c r="C591" s="1" t="s">
        <v>24</v>
      </c>
      <c r="D591" s="1" t="s">
        <v>1197</v>
      </c>
      <c r="E591" s="1" t="s">
        <v>1198</v>
      </c>
      <c r="F591" s="2">
        <v>299</v>
      </c>
      <c r="G591" s="3">
        <v>78.900000000000006</v>
      </c>
      <c r="H591" s="4" t="str">
        <f>IF(AND(A591="Yes",C591="School"),COUNTIFS($A$6:A591,"Yes",$C$6:C591,"School"),"")</f>
        <v/>
      </c>
    </row>
    <row r="592" spans="1:8">
      <c r="A592" s="13"/>
      <c r="B592" s="1" t="s">
        <v>862</v>
      </c>
      <c r="C592" s="1" t="s">
        <v>24</v>
      </c>
      <c r="D592" s="1" t="s">
        <v>1199</v>
      </c>
      <c r="E592" s="1" t="s">
        <v>1200</v>
      </c>
      <c r="F592" s="2">
        <v>91</v>
      </c>
      <c r="G592" s="3">
        <v>79.099999999999994</v>
      </c>
      <c r="H592" s="4" t="str">
        <f>IF(AND(A592="Yes",C592="School"),COUNTIFS($A$6:A592,"Yes",$C$6:C592,"School"),"")</f>
        <v/>
      </c>
    </row>
    <row r="593" spans="1:8">
      <c r="A593" s="13"/>
      <c r="B593" s="1" t="s">
        <v>862</v>
      </c>
      <c r="C593" s="1" t="s">
        <v>24</v>
      </c>
      <c r="D593" s="1" t="s">
        <v>1201</v>
      </c>
      <c r="E593" s="1" t="s">
        <v>1202</v>
      </c>
      <c r="F593" s="2">
        <v>716</v>
      </c>
      <c r="G593" s="3">
        <v>67.7</v>
      </c>
      <c r="H593" s="4" t="str">
        <f>IF(AND(A593="Yes",C593="School"),COUNTIFS($A$6:A593,"Yes",$C$6:C593,"School"),"")</f>
        <v/>
      </c>
    </row>
    <row r="594" spans="1:8">
      <c r="A594" s="13"/>
      <c r="B594" s="1" t="s">
        <v>862</v>
      </c>
      <c r="C594" s="1" t="s">
        <v>24</v>
      </c>
      <c r="D594" s="1" t="s">
        <v>1203</v>
      </c>
      <c r="E594" s="1" t="s">
        <v>1204</v>
      </c>
      <c r="F594" s="2">
        <v>315</v>
      </c>
      <c r="G594" s="3">
        <v>76.2</v>
      </c>
      <c r="H594" s="4" t="str">
        <f>IF(AND(A594="Yes",C594="School"),COUNTIFS($A$6:A594,"Yes",$C$6:C594,"School"),"")</f>
        <v/>
      </c>
    </row>
    <row r="595" spans="1:8">
      <c r="A595" s="13"/>
      <c r="B595" s="1" t="s">
        <v>862</v>
      </c>
      <c r="C595" s="1" t="s">
        <v>24</v>
      </c>
      <c r="D595" s="1" t="s">
        <v>1205</v>
      </c>
      <c r="E595" s="1" t="s">
        <v>1206</v>
      </c>
      <c r="F595" s="2">
        <v>151</v>
      </c>
      <c r="G595" s="3">
        <v>60.3</v>
      </c>
      <c r="H595" s="4" t="str">
        <f>IF(AND(A595="Yes",C595="School"),COUNTIFS($A$6:A595,"Yes",$C$6:C595,"School"),"")</f>
        <v/>
      </c>
    </row>
    <row r="596" spans="1:8">
      <c r="A596" s="13"/>
      <c r="B596" s="1" t="s">
        <v>862</v>
      </c>
      <c r="C596" s="1" t="s">
        <v>24</v>
      </c>
      <c r="D596" s="1" t="s">
        <v>1207</v>
      </c>
      <c r="E596" s="1" t="s">
        <v>1208</v>
      </c>
      <c r="F596" s="2">
        <v>325</v>
      </c>
      <c r="G596" s="3">
        <v>82.2</v>
      </c>
      <c r="H596" s="4" t="str">
        <f>IF(AND(A596="Yes",C596="School"),COUNTIFS($A$6:A596,"Yes",$C$6:C596,"School"),"")</f>
        <v/>
      </c>
    </row>
    <row r="597" spans="1:8">
      <c r="A597" s="13"/>
      <c r="B597" s="1" t="s">
        <v>862</v>
      </c>
      <c r="C597" s="1" t="s">
        <v>24</v>
      </c>
      <c r="D597" s="1" t="s">
        <v>1209</v>
      </c>
      <c r="E597" s="1" t="s">
        <v>1210</v>
      </c>
      <c r="F597" s="2">
        <v>2080</v>
      </c>
      <c r="G597" s="3">
        <v>63.9</v>
      </c>
      <c r="H597" s="4" t="str">
        <f>IF(AND(A597="Yes",C597="School"),COUNTIFS($A$6:A597,"Yes",$C$6:C597,"School"),"")</f>
        <v/>
      </c>
    </row>
    <row r="598" spans="1:8">
      <c r="A598" s="13"/>
      <c r="B598" s="1" t="s">
        <v>862</v>
      </c>
      <c r="C598" s="1" t="s">
        <v>24</v>
      </c>
      <c r="D598" s="1" t="s">
        <v>1211</v>
      </c>
      <c r="E598" s="1" t="s">
        <v>1212</v>
      </c>
      <c r="F598" s="2">
        <v>1071</v>
      </c>
      <c r="G598" s="3">
        <v>56.1</v>
      </c>
      <c r="H598" s="4" t="str">
        <f>IF(AND(A598="Yes",C598="School"),COUNTIFS($A$6:A598,"Yes",$C$6:C598,"School"),"")</f>
        <v/>
      </c>
    </row>
    <row r="599" spans="1:8">
      <c r="A599" s="13"/>
      <c r="B599" s="1" t="s">
        <v>862</v>
      </c>
      <c r="C599" s="1" t="s">
        <v>24</v>
      </c>
      <c r="D599" s="1" t="s">
        <v>1213</v>
      </c>
      <c r="E599" s="1" t="s">
        <v>1214</v>
      </c>
      <c r="F599" s="2">
        <v>512</v>
      </c>
      <c r="G599" s="3">
        <v>72.3</v>
      </c>
      <c r="H599" s="4" t="str">
        <f>IF(AND(A599="Yes",C599="School"),COUNTIFS($A$6:A599,"Yes",$C$6:C599,"School"),"")</f>
        <v/>
      </c>
    </row>
    <row r="600" spans="1:8">
      <c r="A600" s="13"/>
      <c r="B600" s="1" t="s">
        <v>862</v>
      </c>
      <c r="C600" s="1" t="s">
        <v>24</v>
      </c>
      <c r="D600" s="1" t="s">
        <v>1215</v>
      </c>
      <c r="E600" s="1" t="s">
        <v>1216</v>
      </c>
      <c r="F600" s="2">
        <v>875</v>
      </c>
      <c r="G600" s="3">
        <v>64.3</v>
      </c>
      <c r="H600" s="4" t="str">
        <f>IF(AND(A600="Yes",C600="School"),COUNTIFS($A$6:A600,"Yes",$C$6:C600,"School"),"")</f>
        <v/>
      </c>
    </row>
    <row r="601" spans="1:8">
      <c r="A601" s="13"/>
      <c r="B601" s="1" t="s">
        <v>862</v>
      </c>
      <c r="C601" s="1" t="s">
        <v>24</v>
      </c>
      <c r="D601" s="1" t="s">
        <v>1217</v>
      </c>
      <c r="E601" s="1" t="s">
        <v>1218</v>
      </c>
      <c r="F601" s="2">
        <v>782</v>
      </c>
      <c r="G601" s="3">
        <v>56.9</v>
      </c>
      <c r="H601" s="4" t="str">
        <f>IF(AND(A601="Yes",C601="School"),COUNTIFS($A$6:A601,"Yes",$C$6:C601,"School"),"")</f>
        <v/>
      </c>
    </row>
    <row r="602" spans="1:8">
      <c r="A602" s="13"/>
      <c r="B602" s="1" t="s">
        <v>862</v>
      </c>
      <c r="C602" s="1" t="s">
        <v>24</v>
      </c>
      <c r="D602" s="1" t="s">
        <v>1219</v>
      </c>
      <c r="E602" s="1" t="s">
        <v>1220</v>
      </c>
      <c r="F602" s="2">
        <v>2399</v>
      </c>
      <c r="G602" s="3">
        <v>19.899999999999999</v>
      </c>
      <c r="H602" s="4" t="str">
        <f>IF(AND(A602="Yes",C602="School"),COUNTIFS($A$6:A602,"Yes",$C$6:C602,"School"),"")</f>
        <v/>
      </c>
    </row>
    <row r="603" spans="1:8">
      <c r="A603" s="13"/>
      <c r="B603" s="1" t="s">
        <v>862</v>
      </c>
      <c r="C603" s="1" t="s">
        <v>24</v>
      </c>
      <c r="D603" s="1" t="s">
        <v>1221</v>
      </c>
      <c r="E603" s="1" t="s">
        <v>1222</v>
      </c>
      <c r="F603" s="2">
        <v>417</v>
      </c>
      <c r="G603" s="3">
        <v>21.8</v>
      </c>
      <c r="H603" s="4" t="str">
        <f>IF(AND(A603="Yes",C603="School"),COUNTIFS($A$6:A603,"Yes",$C$6:C603,"School"),"")</f>
        <v/>
      </c>
    </row>
    <row r="604" spans="1:8">
      <c r="A604" s="13"/>
      <c r="B604" s="1" t="s">
        <v>862</v>
      </c>
      <c r="C604" s="1" t="s">
        <v>24</v>
      </c>
      <c r="D604" s="1" t="s">
        <v>1223</v>
      </c>
      <c r="E604" s="1" t="s">
        <v>1224</v>
      </c>
      <c r="F604" s="2">
        <v>447</v>
      </c>
      <c r="G604" s="3">
        <v>66.2</v>
      </c>
      <c r="H604" s="4" t="str">
        <f>IF(AND(A604="Yes",C604="School"),COUNTIFS($A$6:A604,"Yes",$C$6:C604,"School"),"")</f>
        <v/>
      </c>
    </row>
    <row r="605" spans="1:8">
      <c r="A605" s="13"/>
      <c r="B605" s="1" t="s">
        <v>862</v>
      </c>
      <c r="C605" s="1" t="s">
        <v>24</v>
      </c>
      <c r="D605" s="1" t="s">
        <v>1225</v>
      </c>
      <c r="E605" s="1" t="s">
        <v>1226</v>
      </c>
      <c r="F605" s="2">
        <v>746</v>
      </c>
      <c r="G605" s="3">
        <v>63.4</v>
      </c>
      <c r="H605" s="4" t="str">
        <f>IF(AND(A605="Yes",C605="School"),COUNTIFS($A$6:A605,"Yes",$C$6:C605,"School"),"")</f>
        <v/>
      </c>
    </row>
    <row r="606" spans="1:8">
      <c r="A606" s="13"/>
      <c r="B606" s="1" t="s">
        <v>862</v>
      </c>
      <c r="C606" s="1" t="s">
        <v>24</v>
      </c>
      <c r="D606" s="1" t="s">
        <v>1227</v>
      </c>
      <c r="E606" s="1" t="s">
        <v>1228</v>
      </c>
      <c r="F606" s="2">
        <v>510</v>
      </c>
      <c r="G606" s="3">
        <v>58</v>
      </c>
      <c r="H606" s="4" t="str">
        <f>IF(AND(A606="Yes",C606="School"),COUNTIFS($A$6:A606,"Yes",$C$6:C606,"School"),"")</f>
        <v/>
      </c>
    </row>
    <row r="607" spans="1:8">
      <c r="A607" s="13"/>
      <c r="B607" s="1" t="s">
        <v>862</v>
      </c>
      <c r="C607" s="1" t="s">
        <v>24</v>
      </c>
      <c r="D607" s="1" t="s">
        <v>1229</v>
      </c>
      <c r="E607" s="1" t="s">
        <v>1230</v>
      </c>
      <c r="F607" s="2">
        <v>696</v>
      </c>
      <c r="G607" s="3">
        <v>45.3</v>
      </c>
      <c r="H607" s="4" t="str">
        <f>IF(AND(A607="Yes",C607="School"),COUNTIFS($A$6:A607,"Yes",$C$6:C607,"School"),"")</f>
        <v/>
      </c>
    </row>
    <row r="608" spans="1:8">
      <c r="A608" s="13"/>
      <c r="B608" s="1" t="s">
        <v>862</v>
      </c>
      <c r="C608" s="1" t="s">
        <v>24</v>
      </c>
      <c r="D608" s="1" t="s">
        <v>1231</v>
      </c>
      <c r="E608" s="1" t="s">
        <v>1232</v>
      </c>
      <c r="F608" s="2">
        <v>454</v>
      </c>
      <c r="G608" s="3">
        <v>57.7</v>
      </c>
      <c r="H608" s="4" t="str">
        <f>IF(AND(A608="Yes",C608="School"),COUNTIFS($A$6:A608,"Yes",$C$6:C608,"School"),"")</f>
        <v/>
      </c>
    </row>
    <row r="609" spans="1:8">
      <c r="A609" s="13"/>
      <c r="B609" s="1" t="s">
        <v>1233</v>
      </c>
      <c r="C609" s="1" t="s">
        <v>24</v>
      </c>
      <c r="D609" s="1" t="s">
        <v>1233</v>
      </c>
      <c r="E609" s="1" t="s">
        <v>1234</v>
      </c>
      <c r="F609" s="2">
        <v>600</v>
      </c>
      <c r="G609" s="3">
        <v>27.3</v>
      </c>
      <c r="H609" s="4" t="str">
        <f>IF(AND(A609="Yes",C609="School"),COUNTIFS($A$6:A609,"Yes",$C$6:C609,"School"),"")</f>
        <v/>
      </c>
    </row>
    <row r="610" spans="1:8">
      <c r="A610" s="13"/>
      <c r="B610" s="1" t="s">
        <v>1235</v>
      </c>
      <c r="C610" s="1" t="s">
        <v>40</v>
      </c>
      <c r="D610" s="1" t="s">
        <v>41</v>
      </c>
      <c r="E610" s="1" t="s">
        <v>1236</v>
      </c>
      <c r="F610" s="2">
        <v>8774</v>
      </c>
      <c r="G610" s="3">
        <v>37.700000000000003</v>
      </c>
      <c r="H610" s="4" t="str">
        <f>IF(AND(A610="Yes",C610="School"),COUNTIFS($A$6:A610,"Yes",$C$6:C610,"School"),"")</f>
        <v/>
      </c>
    </row>
    <row r="611" spans="1:8">
      <c r="A611" s="13"/>
      <c r="B611" s="1" t="s">
        <v>1235</v>
      </c>
      <c r="C611" s="1" t="s">
        <v>24</v>
      </c>
      <c r="D611" s="1" t="s">
        <v>1237</v>
      </c>
      <c r="E611" s="1" t="s">
        <v>1238</v>
      </c>
      <c r="F611" s="2">
        <v>194</v>
      </c>
      <c r="G611" s="3">
        <v>38.700000000000003</v>
      </c>
      <c r="H611" s="4" t="str">
        <f>IF(AND(A611="Yes",C611="School"),COUNTIFS($A$6:A611,"Yes",$C$6:C611,"School"),"")</f>
        <v/>
      </c>
    </row>
    <row r="612" spans="1:8">
      <c r="A612" s="13"/>
      <c r="B612" s="1" t="s">
        <v>1235</v>
      </c>
      <c r="C612" s="1" t="s">
        <v>24</v>
      </c>
      <c r="D612" s="1" t="s">
        <v>1239</v>
      </c>
      <c r="E612" s="1" t="s">
        <v>1240</v>
      </c>
      <c r="F612" s="2">
        <v>300</v>
      </c>
      <c r="G612" s="3">
        <v>50</v>
      </c>
      <c r="H612" s="4" t="str">
        <f>IF(AND(A612="Yes",C612="School"),COUNTIFS($A$6:A612,"Yes",$C$6:C612,"School"),"")</f>
        <v/>
      </c>
    </row>
    <row r="613" spans="1:8">
      <c r="A613" s="13"/>
      <c r="B613" s="1" t="s">
        <v>1235</v>
      </c>
      <c r="C613" s="1" t="s">
        <v>24</v>
      </c>
      <c r="D613" s="1" t="s">
        <v>1241</v>
      </c>
      <c r="E613" s="1" t="s">
        <v>1242</v>
      </c>
      <c r="F613" s="2">
        <v>271</v>
      </c>
      <c r="G613" s="3">
        <v>41.3</v>
      </c>
      <c r="H613" s="4" t="str">
        <f>IF(AND(A613="Yes",C613="School"),COUNTIFS($A$6:A613,"Yes",$C$6:C613,"School"),"")</f>
        <v/>
      </c>
    </row>
    <row r="614" spans="1:8">
      <c r="A614" s="13"/>
      <c r="B614" s="1" t="s">
        <v>1235</v>
      </c>
      <c r="C614" s="1" t="s">
        <v>24</v>
      </c>
      <c r="D614" s="1" t="s">
        <v>1243</v>
      </c>
      <c r="E614" s="1" t="s">
        <v>1244</v>
      </c>
      <c r="F614" s="2">
        <v>11</v>
      </c>
      <c r="G614" s="3">
        <v>45.5</v>
      </c>
      <c r="H614" s="4" t="str">
        <f>IF(AND(A614="Yes",C614="School"),COUNTIFS($A$6:A614,"Yes",$C$6:C614,"School"),"")</f>
        <v/>
      </c>
    </row>
    <row r="615" spans="1:8">
      <c r="A615" s="13"/>
      <c r="B615" s="1" t="s">
        <v>1235</v>
      </c>
      <c r="C615" s="1" t="s">
        <v>24</v>
      </c>
      <c r="D615" s="1" t="s">
        <v>1245</v>
      </c>
      <c r="E615" s="1" t="s">
        <v>1246</v>
      </c>
      <c r="F615" s="2">
        <v>114</v>
      </c>
      <c r="G615" s="3">
        <v>19.3</v>
      </c>
      <c r="H615" s="4" t="str">
        <f>IF(AND(A615="Yes",C615="School"),COUNTIFS($A$6:A615,"Yes",$C$6:C615,"School"),"")</f>
        <v/>
      </c>
    </row>
    <row r="616" spans="1:8">
      <c r="A616" s="13"/>
      <c r="B616" s="1" t="s">
        <v>1235</v>
      </c>
      <c r="C616" s="1" t="s">
        <v>24</v>
      </c>
      <c r="D616" s="1" t="s">
        <v>1247</v>
      </c>
      <c r="E616" s="1" t="s">
        <v>1248</v>
      </c>
      <c r="F616" s="2">
        <v>645</v>
      </c>
      <c r="G616" s="3">
        <v>18.100000000000001</v>
      </c>
      <c r="H616" s="4" t="str">
        <f>IF(AND(A616="Yes",C616="School"),COUNTIFS($A$6:A616,"Yes",$C$6:C616,"School"),"")</f>
        <v/>
      </c>
    </row>
    <row r="617" spans="1:8">
      <c r="A617" s="13"/>
      <c r="B617" s="1" t="s">
        <v>1235</v>
      </c>
      <c r="C617" s="1" t="s">
        <v>24</v>
      </c>
      <c r="D617" s="1" t="s">
        <v>1249</v>
      </c>
      <c r="E617" s="1" t="s">
        <v>1250</v>
      </c>
      <c r="F617" s="2">
        <v>521</v>
      </c>
      <c r="G617" s="3">
        <v>58.7</v>
      </c>
      <c r="H617" s="4" t="str">
        <f>IF(AND(A617="Yes",C617="School"),COUNTIFS($A$6:A617,"Yes",$C$6:C617,"School"),"")</f>
        <v/>
      </c>
    </row>
    <row r="618" spans="1:8">
      <c r="A618" s="13"/>
      <c r="B618" s="1" t="s">
        <v>1235</v>
      </c>
      <c r="C618" s="1" t="s">
        <v>24</v>
      </c>
      <c r="D618" s="1" t="s">
        <v>1251</v>
      </c>
      <c r="E618" s="1" t="s">
        <v>1252</v>
      </c>
      <c r="F618" s="2">
        <v>437</v>
      </c>
      <c r="G618" s="3">
        <v>30</v>
      </c>
      <c r="H618" s="4" t="str">
        <f>IF(AND(A618="Yes",C618="School"),COUNTIFS($A$6:A618,"Yes",$C$6:C618,"School"),"")</f>
        <v/>
      </c>
    </row>
    <row r="619" spans="1:8">
      <c r="A619" s="13"/>
      <c r="B619" s="1" t="s">
        <v>1235</v>
      </c>
      <c r="C619" s="1" t="s">
        <v>24</v>
      </c>
      <c r="D619" s="1" t="s">
        <v>1253</v>
      </c>
      <c r="E619" s="1" t="s">
        <v>1254</v>
      </c>
      <c r="F619" s="2">
        <v>220</v>
      </c>
      <c r="G619" s="3">
        <v>42.7</v>
      </c>
      <c r="H619" s="4" t="str">
        <f>IF(AND(A619="Yes",C619="School"),COUNTIFS($A$6:A619,"Yes",$C$6:C619,"School"),"")</f>
        <v/>
      </c>
    </row>
    <row r="620" spans="1:8">
      <c r="A620" s="13"/>
      <c r="B620" s="1" t="s">
        <v>1235</v>
      </c>
      <c r="C620" s="1" t="s">
        <v>24</v>
      </c>
      <c r="D620" s="1" t="s">
        <v>1255</v>
      </c>
      <c r="E620" s="1" t="s">
        <v>1256</v>
      </c>
      <c r="F620" s="2">
        <v>724</v>
      </c>
      <c r="G620" s="3">
        <v>54.3</v>
      </c>
      <c r="H620" s="4" t="str">
        <f>IF(AND(A620="Yes",C620="School"),COUNTIFS($A$6:A620,"Yes",$C$6:C620,"School"),"")</f>
        <v/>
      </c>
    </row>
    <row r="621" spans="1:8">
      <c r="A621" s="13"/>
      <c r="B621" s="1" t="s">
        <v>1235</v>
      </c>
      <c r="C621" s="1" t="s">
        <v>24</v>
      </c>
      <c r="D621" s="1" t="s">
        <v>1257</v>
      </c>
      <c r="E621" s="1" t="s">
        <v>1258</v>
      </c>
      <c r="F621" s="2">
        <v>776</v>
      </c>
      <c r="G621" s="3">
        <v>25.4</v>
      </c>
      <c r="H621" s="4" t="str">
        <f>IF(AND(A621="Yes",C621="School"),COUNTIFS($A$6:A621,"Yes",$C$6:C621,"School"),"")</f>
        <v/>
      </c>
    </row>
    <row r="622" spans="1:8">
      <c r="A622" s="13"/>
      <c r="B622" s="1" t="s">
        <v>1235</v>
      </c>
      <c r="C622" s="1" t="s">
        <v>24</v>
      </c>
      <c r="D622" s="1" t="s">
        <v>1259</v>
      </c>
      <c r="E622" s="1" t="s">
        <v>1260</v>
      </c>
      <c r="F622" s="2">
        <v>155</v>
      </c>
      <c r="G622" s="3">
        <v>39.4</v>
      </c>
      <c r="H622" s="4" t="str">
        <f>IF(AND(A622="Yes",C622="School"),COUNTIFS($A$6:A622,"Yes",$C$6:C622,"School"),"")</f>
        <v/>
      </c>
    </row>
    <row r="623" spans="1:8">
      <c r="A623" s="13"/>
      <c r="B623" s="1" t="s">
        <v>1235</v>
      </c>
      <c r="C623" s="1" t="s">
        <v>24</v>
      </c>
      <c r="D623" s="1" t="s">
        <v>1261</v>
      </c>
      <c r="E623" s="1" t="s">
        <v>1262</v>
      </c>
      <c r="F623" s="2">
        <v>560</v>
      </c>
      <c r="G623" s="3">
        <v>27.3</v>
      </c>
      <c r="H623" s="4" t="str">
        <f>IF(AND(A623="Yes",C623="School"),COUNTIFS($A$6:A623,"Yes",$C$6:C623,"School"),"")</f>
        <v/>
      </c>
    </row>
    <row r="624" spans="1:8">
      <c r="A624" s="13"/>
      <c r="B624" s="1" t="s">
        <v>1235</v>
      </c>
      <c r="C624" s="1" t="s">
        <v>24</v>
      </c>
      <c r="D624" s="1" t="s">
        <v>1263</v>
      </c>
      <c r="E624" s="1" t="s">
        <v>1264</v>
      </c>
      <c r="F624" s="2">
        <v>592</v>
      </c>
      <c r="G624" s="3">
        <v>24.5</v>
      </c>
      <c r="H624" s="4" t="str">
        <f>IF(AND(A624="Yes",C624="School"),COUNTIFS($A$6:A624,"Yes",$C$6:C624,"School"),"")</f>
        <v/>
      </c>
    </row>
    <row r="625" spans="1:8">
      <c r="A625" s="13"/>
      <c r="B625" s="1" t="s">
        <v>1235</v>
      </c>
      <c r="C625" s="1" t="s">
        <v>24</v>
      </c>
      <c r="D625" s="1" t="s">
        <v>1265</v>
      </c>
      <c r="E625" s="1" t="s">
        <v>1266</v>
      </c>
      <c r="F625" s="2">
        <v>58</v>
      </c>
      <c r="G625" s="3">
        <v>51.7</v>
      </c>
      <c r="H625" s="4" t="str">
        <f>IF(AND(A625="Yes",C625="School"),COUNTIFS($A$6:A625,"Yes",$C$6:C625,"School"),"")</f>
        <v/>
      </c>
    </row>
    <row r="626" spans="1:8">
      <c r="A626" s="13"/>
      <c r="B626" s="1" t="s">
        <v>1235</v>
      </c>
      <c r="C626" s="1" t="s">
        <v>24</v>
      </c>
      <c r="D626" s="1" t="s">
        <v>1267</v>
      </c>
      <c r="E626" s="1" t="s">
        <v>1268</v>
      </c>
      <c r="F626" s="2">
        <v>300</v>
      </c>
      <c r="G626" s="3">
        <v>27.7</v>
      </c>
      <c r="H626" s="4" t="str">
        <f>IF(AND(A626="Yes",C626="School"),COUNTIFS($A$6:A626,"Yes",$C$6:C626,"School"),"")</f>
        <v/>
      </c>
    </row>
    <row r="627" spans="1:8">
      <c r="A627" s="13"/>
      <c r="B627" s="1" t="s">
        <v>1235</v>
      </c>
      <c r="C627" s="1" t="s">
        <v>24</v>
      </c>
      <c r="D627" s="1" t="s">
        <v>1269</v>
      </c>
      <c r="E627" s="1" t="s">
        <v>1270</v>
      </c>
      <c r="F627" s="2">
        <v>508</v>
      </c>
      <c r="G627" s="3">
        <v>39</v>
      </c>
      <c r="H627" s="4" t="str">
        <f>IF(AND(A627="Yes",C627="School"),COUNTIFS($A$6:A627,"Yes",$C$6:C627,"School"),"")</f>
        <v/>
      </c>
    </row>
    <row r="628" spans="1:8">
      <c r="A628" s="13"/>
      <c r="B628" s="1" t="s">
        <v>1235</v>
      </c>
      <c r="C628" s="1" t="s">
        <v>24</v>
      </c>
      <c r="D628" s="1" t="s">
        <v>1271</v>
      </c>
      <c r="E628" s="1" t="s">
        <v>1272</v>
      </c>
      <c r="F628" s="2">
        <v>1063</v>
      </c>
      <c r="G628" s="3">
        <v>20.7</v>
      </c>
      <c r="H628" s="4" t="str">
        <f>IF(AND(A628="Yes",C628="School"),COUNTIFS($A$6:A628,"Yes",$C$6:C628,"School"),"")</f>
        <v/>
      </c>
    </row>
    <row r="629" spans="1:8">
      <c r="A629" s="13"/>
      <c r="B629" s="1" t="s">
        <v>1235</v>
      </c>
      <c r="C629" s="1" t="s">
        <v>24</v>
      </c>
      <c r="D629" s="1" t="s">
        <v>1273</v>
      </c>
      <c r="E629" s="1" t="s">
        <v>1274</v>
      </c>
      <c r="F629" s="2">
        <v>564</v>
      </c>
      <c r="G629" s="3">
        <v>64</v>
      </c>
      <c r="H629" s="4" t="str">
        <f>IF(AND(A629="Yes",C629="School"),COUNTIFS($A$6:A629,"Yes",$C$6:C629,"School"),"")</f>
        <v/>
      </c>
    </row>
    <row r="630" spans="1:8">
      <c r="A630" s="13"/>
      <c r="B630" s="1" t="s">
        <v>1235</v>
      </c>
      <c r="C630" s="1" t="s">
        <v>24</v>
      </c>
      <c r="D630" s="1" t="s">
        <v>1275</v>
      </c>
      <c r="E630" s="1" t="s">
        <v>1276</v>
      </c>
      <c r="F630" s="2">
        <v>274</v>
      </c>
      <c r="G630" s="3">
        <v>44.9</v>
      </c>
      <c r="H630" s="4" t="str">
        <f>IF(AND(A630="Yes",C630="School"),COUNTIFS($A$6:A630,"Yes",$C$6:C630,"School"),"")</f>
        <v/>
      </c>
    </row>
    <row r="631" spans="1:8">
      <c r="A631" s="13"/>
      <c r="B631" s="1" t="s">
        <v>1235</v>
      </c>
      <c r="C631" s="1" t="s">
        <v>24</v>
      </c>
      <c r="D631" s="1" t="s">
        <v>1277</v>
      </c>
      <c r="E631" s="1" t="s">
        <v>1278</v>
      </c>
      <c r="F631" s="2">
        <v>487</v>
      </c>
      <c r="G631" s="3">
        <v>68</v>
      </c>
      <c r="H631" s="4" t="str">
        <f>IF(AND(A631="Yes",C631="School"),COUNTIFS($A$6:A631,"Yes",$C$6:C631,"School"),"")</f>
        <v/>
      </c>
    </row>
    <row r="632" spans="1:8">
      <c r="A632" s="13"/>
      <c r="B632" s="1" t="s">
        <v>1279</v>
      </c>
      <c r="C632" s="1" t="s">
        <v>40</v>
      </c>
      <c r="D632" s="1" t="s">
        <v>41</v>
      </c>
      <c r="E632" s="1" t="s">
        <v>1280</v>
      </c>
      <c r="F632" s="2">
        <v>2849</v>
      </c>
      <c r="G632" s="3">
        <v>61</v>
      </c>
      <c r="H632" s="4" t="str">
        <f>IF(AND(A632="Yes",C632="School"),COUNTIFS($A$6:A632,"Yes",$C$6:C632,"School"),"")</f>
        <v/>
      </c>
    </row>
    <row r="633" spans="1:8">
      <c r="A633" s="13"/>
      <c r="B633" s="1" t="s">
        <v>1279</v>
      </c>
      <c r="C633" s="1" t="s">
        <v>24</v>
      </c>
      <c r="D633" s="1" t="s">
        <v>1281</v>
      </c>
      <c r="E633" s="1" t="s">
        <v>1282</v>
      </c>
      <c r="F633" s="2">
        <v>337</v>
      </c>
      <c r="G633" s="3">
        <v>66.2</v>
      </c>
      <c r="H633" s="4" t="str">
        <f>IF(AND(A633="Yes",C633="School"),COUNTIFS($A$6:A633,"Yes",$C$6:C633,"School"),"")</f>
        <v/>
      </c>
    </row>
    <row r="634" spans="1:8">
      <c r="A634" s="13"/>
      <c r="B634" s="1" t="s">
        <v>1279</v>
      </c>
      <c r="C634" s="1" t="s">
        <v>24</v>
      </c>
      <c r="D634" s="1" t="s">
        <v>1283</v>
      </c>
      <c r="E634" s="1" t="s">
        <v>1284</v>
      </c>
      <c r="F634" s="2">
        <v>195</v>
      </c>
      <c r="G634" s="3">
        <v>54.9</v>
      </c>
      <c r="H634" s="4" t="str">
        <f>IF(AND(A634="Yes",C634="School"),COUNTIFS($A$6:A634,"Yes",$C$6:C634,"School"),"")</f>
        <v/>
      </c>
    </row>
    <row r="635" spans="1:8">
      <c r="A635" s="13"/>
      <c r="B635" s="1" t="s">
        <v>1279</v>
      </c>
      <c r="C635" s="1" t="s">
        <v>24</v>
      </c>
      <c r="D635" s="1" t="s">
        <v>1285</v>
      </c>
      <c r="E635" s="1" t="s">
        <v>1286</v>
      </c>
      <c r="F635" s="2">
        <v>158</v>
      </c>
      <c r="G635" s="3">
        <v>63.3</v>
      </c>
      <c r="H635" s="4" t="str">
        <f>IF(AND(A635="Yes",C635="School"),COUNTIFS($A$6:A635,"Yes",$C$6:C635,"School"),"")</f>
        <v/>
      </c>
    </row>
    <row r="636" spans="1:8">
      <c r="A636" s="13"/>
      <c r="B636" s="1" t="s">
        <v>1279</v>
      </c>
      <c r="C636" s="1" t="s">
        <v>24</v>
      </c>
      <c r="D636" s="1" t="s">
        <v>1287</v>
      </c>
      <c r="E636" s="1" t="s">
        <v>1288</v>
      </c>
      <c r="F636" s="2">
        <v>122</v>
      </c>
      <c r="G636" s="3">
        <v>47.5</v>
      </c>
      <c r="H636" s="4" t="str">
        <f>IF(AND(A636="Yes",C636="School"),COUNTIFS($A$6:A636,"Yes",$C$6:C636,"School"),"")</f>
        <v/>
      </c>
    </row>
    <row r="637" spans="1:8">
      <c r="A637" s="13"/>
      <c r="B637" s="1" t="s">
        <v>1279</v>
      </c>
      <c r="C637" s="1" t="s">
        <v>24</v>
      </c>
      <c r="D637" s="1" t="s">
        <v>1289</v>
      </c>
      <c r="E637" s="1" t="s">
        <v>1290</v>
      </c>
      <c r="F637" s="2">
        <v>110</v>
      </c>
      <c r="G637" s="3">
        <v>54.5</v>
      </c>
      <c r="H637" s="4" t="str">
        <f>IF(AND(A637="Yes",C637="School"),COUNTIFS($A$6:A637,"Yes",$C$6:C637,"School"),"")</f>
        <v/>
      </c>
    </row>
    <row r="638" spans="1:8">
      <c r="A638" s="13"/>
      <c r="B638" s="1" t="s">
        <v>1279</v>
      </c>
      <c r="C638" s="1" t="s">
        <v>24</v>
      </c>
      <c r="D638" s="1" t="s">
        <v>1291</v>
      </c>
      <c r="E638" s="1" t="s">
        <v>1292</v>
      </c>
      <c r="F638" s="2">
        <v>161</v>
      </c>
      <c r="G638" s="3">
        <v>71.400000000000006</v>
      </c>
      <c r="H638" s="4" t="str">
        <f>IF(AND(A638="Yes",C638="School"),COUNTIFS($A$6:A638,"Yes",$C$6:C638,"School"),"")</f>
        <v/>
      </c>
    </row>
    <row r="639" spans="1:8">
      <c r="A639" s="13"/>
      <c r="B639" s="1" t="s">
        <v>1279</v>
      </c>
      <c r="C639" s="1" t="s">
        <v>24</v>
      </c>
      <c r="D639" s="1" t="s">
        <v>1293</v>
      </c>
      <c r="E639" s="1" t="s">
        <v>1294</v>
      </c>
      <c r="F639" s="2">
        <v>444</v>
      </c>
      <c r="G639" s="3">
        <v>67.8</v>
      </c>
      <c r="H639" s="4" t="str">
        <f>IF(AND(A639="Yes",C639="School"),COUNTIFS($A$6:A639,"Yes",$C$6:C639,"School"),"")</f>
        <v/>
      </c>
    </row>
    <row r="640" spans="1:8">
      <c r="A640" s="13"/>
      <c r="B640" s="1" t="s">
        <v>1279</v>
      </c>
      <c r="C640" s="1" t="s">
        <v>24</v>
      </c>
      <c r="D640" s="1" t="s">
        <v>1295</v>
      </c>
      <c r="E640" s="1" t="s">
        <v>1296</v>
      </c>
      <c r="F640" s="2">
        <v>380</v>
      </c>
      <c r="G640" s="3">
        <v>50.5</v>
      </c>
      <c r="H640" s="4" t="str">
        <f>IF(AND(A640="Yes",C640="School"),COUNTIFS($A$6:A640,"Yes",$C$6:C640,"School"),"")</f>
        <v/>
      </c>
    </row>
    <row r="641" spans="1:8">
      <c r="A641" s="13"/>
      <c r="B641" s="1" t="s">
        <v>1279</v>
      </c>
      <c r="C641" s="1" t="s">
        <v>24</v>
      </c>
      <c r="D641" s="1" t="s">
        <v>1297</v>
      </c>
      <c r="E641" s="1" t="s">
        <v>1298</v>
      </c>
      <c r="F641" s="2">
        <v>340</v>
      </c>
      <c r="G641" s="3">
        <v>56.2</v>
      </c>
      <c r="H641" s="4" t="str">
        <f>IF(AND(A641="Yes",C641="School"),COUNTIFS($A$6:A641,"Yes",$C$6:C641,"School"),"")</f>
        <v/>
      </c>
    </row>
    <row r="642" spans="1:8">
      <c r="A642" s="13"/>
      <c r="B642" s="1" t="s">
        <v>1279</v>
      </c>
      <c r="C642" s="1" t="s">
        <v>24</v>
      </c>
      <c r="D642" s="1" t="s">
        <v>1299</v>
      </c>
      <c r="E642" s="1" t="s">
        <v>1300</v>
      </c>
      <c r="F642" s="2">
        <v>151</v>
      </c>
      <c r="G642" s="3">
        <v>77.5</v>
      </c>
      <c r="H642" s="4" t="str">
        <f>IF(AND(A642="Yes",C642="School"),COUNTIFS($A$6:A642,"Yes",$C$6:C642,"School"),"")</f>
        <v/>
      </c>
    </row>
    <row r="643" spans="1:8">
      <c r="A643" s="13"/>
      <c r="B643" s="1" t="s">
        <v>1279</v>
      </c>
      <c r="C643" s="1" t="s">
        <v>24</v>
      </c>
      <c r="D643" s="1" t="s">
        <v>1301</v>
      </c>
      <c r="E643" s="1" t="s">
        <v>1302</v>
      </c>
      <c r="F643" s="2">
        <v>269</v>
      </c>
      <c r="G643" s="3">
        <v>61.3</v>
      </c>
      <c r="H643" s="4" t="str">
        <f>IF(AND(A643="Yes",C643="School"),COUNTIFS($A$6:A643,"Yes",$C$6:C643,"School"),"")</f>
        <v/>
      </c>
    </row>
    <row r="644" spans="1:8">
      <c r="A644" s="13"/>
      <c r="B644" s="1" t="s">
        <v>1279</v>
      </c>
      <c r="C644" s="1" t="s">
        <v>24</v>
      </c>
      <c r="D644" s="1" t="s">
        <v>1303</v>
      </c>
      <c r="E644" s="1" t="s">
        <v>1304</v>
      </c>
      <c r="F644" s="2">
        <v>54</v>
      </c>
      <c r="G644" s="3">
        <v>83.3</v>
      </c>
      <c r="H644" s="4" t="str">
        <f>IF(AND(A644="Yes",C644="School"),COUNTIFS($A$6:A644,"Yes",$C$6:C644,"School"),"")</f>
        <v/>
      </c>
    </row>
    <row r="645" spans="1:8">
      <c r="A645" s="13"/>
      <c r="B645" s="1" t="s">
        <v>1279</v>
      </c>
      <c r="C645" s="1" t="s">
        <v>24</v>
      </c>
      <c r="D645" s="1" t="s">
        <v>1305</v>
      </c>
      <c r="E645" s="1" t="s">
        <v>1306</v>
      </c>
      <c r="F645" s="2">
        <v>128</v>
      </c>
      <c r="G645" s="3">
        <v>50.8</v>
      </c>
      <c r="H645" s="4" t="str">
        <f>IF(AND(A645="Yes",C645="School"),COUNTIFS($A$6:A645,"Yes",$C$6:C645,"School"),"")</f>
        <v/>
      </c>
    </row>
    <row r="646" spans="1:8">
      <c r="A646" s="13"/>
      <c r="B646" s="1" t="s">
        <v>1307</v>
      </c>
      <c r="C646" s="1" t="s">
        <v>24</v>
      </c>
      <c r="D646" s="1" t="s">
        <v>1307</v>
      </c>
      <c r="E646" s="1" t="s">
        <v>1308</v>
      </c>
      <c r="F646" s="2">
        <v>97</v>
      </c>
      <c r="G646" s="3">
        <v>68</v>
      </c>
      <c r="H646" s="4" t="str">
        <f>IF(AND(A646="Yes",C646="School"),COUNTIFS($A$6:A646,"Yes",$C$6:C646,"School"),"")</f>
        <v/>
      </c>
    </row>
    <row r="647" spans="1:8">
      <c r="A647" s="13"/>
      <c r="B647" s="1" t="s">
        <v>1309</v>
      </c>
      <c r="C647" s="1" t="s">
        <v>24</v>
      </c>
      <c r="D647" s="1" t="s">
        <v>1309</v>
      </c>
      <c r="E647" s="1" t="s">
        <v>1310</v>
      </c>
      <c r="F647" s="2">
        <v>910</v>
      </c>
      <c r="G647" s="3">
        <v>42.1</v>
      </c>
      <c r="H647" s="4" t="str">
        <f>IF(AND(A647="Yes",C647="School"),COUNTIFS($A$6:A647,"Yes",$C$6:C647,"School"),"")</f>
        <v/>
      </c>
    </row>
    <row r="648" spans="1:8">
      <c r="A648" s="13"/>
      <c r="B648" s="1" t="s">
        <v>1311</v>
      </c>
      <c r="C648" s="1" t="s">
        <v>24</v>
      </c>
      <c r="D648" s="1" t="s">
        <v>1311</v>
      </c>
      <c r="E648" s="1" t="s">
        <v>1312</v>
      </c>
      <c r="F648" s="2">
        <v>536</v>
      </c>
      <c r="G648" s="3">
        <v>42.5</v>
      </c>
      <c r="H648" s="4" t="str">
        <f>IF(AND(A648="Yes",C648="School"),COUNTIFS($A$6:A648,"Yes",$C$6:C648,"School"),"")</f>
        <v/>
      </c>
    </row>
    <row r="649" spans="1:8">
      <c r="A649" s="13"/>
      <c r="B649" s="1" t="s">
        <v>1313</v>
      </c>
      <c r="C649" s="1" t="s">
        <v>24</v>
      </c>
      <c r="D649" s="1" t="s">
        <v>1313</v>
      </c>
      <c r="E649" s="1" t="s">
        <v>1314</v>
      </c>
      <c r="F649" s="2">
        <v>776</v>
      </c>
      <c r="G649" s="3">
        <v>74.599999999999994</v>
      </c>
      <c r="H649" s="4" t="str">
        <f>IF(AND(A649="Yes",C649="School"),COUNTIFS($A$6:A649,"Yes",$C$6:C649,"School"),"")</f>
        <v/>
      </c>
    </row>
    <row r="650" spans="1:8">
      <c r="A650" s="13"/>
      <c r="B650" s="1" t="s">
        <v>1315</v>
      </c>
      <c r="C650" s="1" t="s">
        <v>24</v>
      </c>
      <c r="D650" s="1" t="s">
        <v>1315</v>
      </c>
      <c r="E650" s="1" t="s">
        <v>1316</v>
      </c>
      <c r="F650" s="2">
        <v>119</v>
      </c>
      <c r="G650" s="3">
        <v>75.599999999999994</v>
      </c>
      <c r="H650" s="4" t="str">
        <f>IF(AND(A650="Yes",C650="School"),COUNTIFS($A$6:A650,"Yes",$C$6:C650,"School"),"")</f>
        <v/>
      </c>
    </row>
    <row r="651" spans="1:8">
      <c r="A651" s="13"/>
      <c r="B651" s="1" t="s">
        <v>1317</v>
      </c>
      <c r="C651" s="1" t="s">
        <v>40</v>
      </c>
      <c r="D651" s="1" t="s">
        <v>41</v>
      </c>
      <c r="E651" s="1" t="s">
        <v>1318</v>
      </c>
      <c r="F651" s="2">
        <v>1308</v>
      </c>
      <c r="G651" s="3">
        <v>46.6</v>
      </c>
      <c r="H651" s="4" t="str">
        <f>IF(AND(A651="Yes",C651="School"),COUNTIFS($A$6:A651,"Yes",$C$6:C651,"School"),"")</f>
        <v/>
      </c>
    </row>
    <row r="652" spans="1:8">
      <c r="A652" s="13"/>
      <c r="B652" s="1" t="s">
        <v>1317</v>
      </c>
      <c r="C652" s="1" t="s">
        <v>24</v>
      </c>
      <c r="D652" s="1" t="s">
        <v>1319</v>
      </c>
      <c r="E652" s="1" t="s">
        <v>1320</v>
      </c>
      <c r="F652" s="2">
        <v>300</v>
      </c>
      <c r="G652" s="3">
        <v>48.7</v>
      </c>
      <c r="H652" s="4" t="str">
        <f>IF(AND(A652="Yes",C652="School"),COUNTIFS($A$6:A652,"Yes",$C$6:C652,"School"),"")</f>
        <v/>
      </c>
    </row>
    <row r="653" spans="1:8">
      <c r="A653" s="13"/>
      <c r="B653" s="1" t="s">
        <v>1317</v>
      </c>
      <c r="C653" s="1" t="s">
        <v>24</v>
      </c>
      <c r="D653" s="1" t="s">
        <v>1321</v>
      </c>
      <c r="E653" s="1" t="s">
        <v>1322</v>
      </c>
      <c r="F653" s="2">
        <v>352</v>
      </c>
      <c r="G653" s="3">
        <v>38.6</v>
      </c>
      <c r="H653" s="4" t="str">
        <f>IF(AND(A653="Yes",C653="School"),COUNTIFS($A$6:A653,"Yes",$C$6:C653,"School"),"")</f>
        <v/>
      </c>
    </row>
    <row r="654" spans="1:8">
      <c r="A654" s="13"/>
      <c r="B654" s="1" t="s">
        <v>1317</v>
      </c>
      <c r="C654" s="1" t="s">
        <v>24</v>
      </c>
      <c r="D654" s="1" t="s">
        <v>1323</v>
      </c>
      <c r="E654" s="1" t="s">
        <v>1324</v>
      </c>
      <c r="F654" s="2">
        <v>292</v>
      </c>
      <c r="G654" s="3">
        <v>45.9</v>
      </c>
      <c r="H654" s="4" t="str">
        <f>IF(AND(A654="Yes",C654="School"),COUNTIFS($A$6:A654,"Yes",$C$6:C654,"School"),"")</f>
        <v/>
      </c>
    </row>
    <row r="655" spans="1:8">
      <c r="A655" s="13"/>
      <c r="B655" s="1" t="s">
        <v>1317</v>
      </c>
      <c r="C655" s="1" t="s">
        <v>24</v>
      </c>
      <c r="D655" s="1" t="s">
        <v>1325</v>
      </c>
      <c r="E655" s="1" t="s">
        <v>1326</v>
      </c>
      <c r="F655" s="2">
        <v>364</v>
      </c>
      <c r="G655" s="3">
        <v>53</v>
      </c>
      <c r="H655" s="4" t="str">
        <f>IF(AND(A655="Yes",C655="School"),COUNTIFS($A$6:A655,"Yes",$C$6:C655,"School"),"")</f>
        <v/>
      </c>
    </row>
    <row r="656" spans="1:8">
      <c r="A656" s="13"/>
      <c r="B656" s="1" t="s">
        <v>1327</v>
      </c>
      <c r="C656" s="1" t="s">
        <v>40</v>
      </c>
      <c r="D656" s="1" t="s">
        <v>41</v>
      </c>
      <c r="E656" s="1" t="s">
        <v>1328</v>
      </c>
      <c r="F656" s="2">
        <v>14020</v>
      </c>
      <c r="G656" s="3">
        <v>63.6</v>
      </c>
      <c r="H656" s="4" t="str">
        <f>IF(AND(A656="Yes",C656="School"),COUNTIFS($A$6:A656,"Yes",$C$6:C656,"School"),"")</f>
        <v/>
      </c>
    </row>
    <row r="657" spans="1:8">
      <c r="A657" s="13"/>
      <c r="B657" s="1" t="s">
        <v>1327</v>
      </c>
      <c r="C657" s="1" t="s">
        <v>24</v>
      </c>
      <c r="D657" s="1" t="s">
        <v>1329</v>
      </c>
      <c r="E657" s="1" t="s">
        <v>1330</v>
      </c>
      <c r="F657" s="2">
        <v>546</v>
      </c>
      <c r="G657" s="3">
        <v>63.9</v>
      </c>
      <c r="H657" s="4" t="str">
        <f>IF(AND(A657="Yes",C657="School"),COUNTIFS($A$6:A657,"Yes",$C$6:C657,"School"),"")</f>
        <v/>
      </c>
    </row>
    <row r="658" spans="1:8">
      <c r="A658" s="13"/>
      <c r="B658" s="1" t="s">
        <v>1327</v>
      </c>
      <c r="C658" s="1" t="s">
        <v>24</v>
      </c>
      <c r="D658" s="1" t="s">
        <v>1331</v>
      </c>
      <c r="E658" s="1" t="s">
        <v>1332</v>
      </c>
      <c r="F658" s="2">
        <v>566</v>
      </c>
      <c r="G658" s="3">
        <v>57.4</v>
      </c>
      <c r="H658" s="4" t="str">
        <f>IF(AND(A658="Yes",C658="School"),COUNTIFS($A$6:A658,"Yes",$C$6:C658,"School"),"")</f>
        <v/>
      </c>
    </row>
    <row r="659" spans="1:8">
      <c r="A659" s="13"/>
      <c r="B659" s="1" t="s">
        <v>1327</v>
      </c>
      <c r="C659" s="1" t="s">
        <v>24</v>
      </c>
      <c r="D659" s="1" t="s">
        <v>1333</v>
      </c>
      <c r="E659" s="1" t="s">
        <v>1334</v>
      </c>
      <c r="F659" s="2">
        <v>859</v>
      </c>
      <c r="G659" s="3">
        <v>56.9</v>
      </c>
      <c r="H659" s="4" t="str">
        <f>IF(AND(A659="Yes",C659="School"),COUNTIFS($A$6:A659,"Yes",$C$6:C659,"School"),"")</f>
        <v/>
      </c>
    </row>
    <row r="660" spans="1:8">
      <c r="A660" s="13"/>
      <c r="B660" s="1" t="s">
        <v>1327</v>
      </c>
      <c r="C660" s="1" t="s">
        <v>24</v>
      </c>
      <c r="D660" s="1" t="s">
        <v>1335</v>
      </c>
      <c r="E660" s="1" t="s">
        <v>1336</v>
      </c>
      <c r="F660" s="2">
        <v>740</v>
      </c>
      <c r="G660" s="3">
        <v>58.5</v>
      </c>
      <c r="H660" s="4" t="str">
        <f>IF(AND(A660="Yes",C660="School"),COUNTIFS($A$6:A660,"Yes",$C$6:C660,"School"),"")</f>
        <v/>
      </c>
    </row>
    <row r="661" spans="1:8">
      <c r="A661" s="13"/>
      <c r="B661" s="1" t="s">
        <v>1327</v>
      </c>
      <c r="C661" s="1" t="s">
        <v>24</v>
      </c>
      <c r="D661" s="1" t="s">
        <v>1337</v>
      </c>
      <c r="E661" s="1" t="s">
        <v>1338</v>
      </c>
      <c r="F661" s="2">
        <v>279</v>
      </c>
      <c r="G661" s="3">
        <v>62.4</v>
      </c>
      <c r="H661" s="4" t="str">
        <f>IF(AND(A661="Yes",C661="School"),COUNTIFS($A$6:A661,"Yes",$C$6:C661,"School"),"")</f>
        <v/>
      </c>
    </row>
    <row r="662" spans="1:8">
      <c r="A662" s="13"/>
      <c r="B662" s="1" t="s">
        <v>1327</v>
      </c>
      <c r="C662" s="1" t="s">
        <v>24</v>
      </c>
      <c r="D662" s="1" t="s">
        <v>1339</v>
      </c>
      <c r="E662" s="1" t="s">
        <v>1340</v>
      </c>
      <c r="F662" s="2">
        <v>206</v>
      </c>
      <c r="G662" s="3">
        <v>52.4</v>
      </c>
      <c r="H662" s="4" t="str">
        <f>IF(AND(A662="Yes",C662="School"),COUNTIFS($A$6:A662,"Yes",$C$6:C662,"School"),"")</f>
        <v/>
      </c>
    </row>
    <row r="663" spans="1:8">
      <c r="A663" s="13"/>
      <c r="B663" s="1" t="s">
        <v>1327</v>
      </c>
      <c r="C663" s="1" t="s">
        <v>24</v>
      </c>
      <c r="D663" s="1" t="s">
        <v>1341</v>
      </c>
      <c r="E663" s="1" t="s">
        <v>1342</v>
      </c>
      <c r="F663" s="2">
        <v>149</v>
      </c>
      <c r="G663" s="3">
        <v>54.4</v>
      </c>
      <c r="H663" s="4" t="str">
        <f>IF(AND(A663="Yes",C663="School"),COUNTIFS($A$6:A663,"Yes",$C$6:C663,"School"),"")</f>
        <v/>
      </c>
    </row>
    <row r="664" spans="1:8">
      <c r="A664" s="13"/>
      <c r="B664" s="1" t="s">
        <v>1327</v>
      </c>
      <c r="C664" s="1" t="s">
        <v>24</v>
      </c>
      <c r="D664" s="1" t="s">
        <v>1343</v>
      </c>
      <c r="E664" s="1" t="s">
        <v>1344</v>
      </c>
      <c r="F664" s="2">
        <v>997</v>
      </c>
      <c r="G664" s="3">
        <v>51.5</v>
      </c>
      <c r="H664" s="4" t="str">
        <f>IF(AND(A664="Yes",C664="School"),COUNTIFS($A$6:A664,"Yes",$C$6:C664,"School"),"")</f>
        <v/>
      </c>
    </row>
    <row r="665" spans="1:8">
      <c r="A665" s="13"/>
      <c r="B665" s="1" t="s">
        <v>1327</v>
      </c>
      <c r="C665" s="1" t="s">
        <v>24</v>
      </c>
      <c r="D665" s="1" t="s">
        <v>1345</v>
      </c>
      <c r="E665" s="1" t="s">
        <v>1346</v>
      </c>
      <c r="F665" s="2">
        <v>820</v>
      </c>
      <c r="G665" s="3">
        <v>57.6</v>
      </c>
      <c r="H665" s="4" t="str">
        <f>IF(AND(A665="Yes",C665="School"),COUNTIFS($A$6:A665,"Yes",$C$6:C665,"School"),"")</f>
        <v/>
      </c>
    </row>
    <row r="666" spans="1:8">
      <c r="A666" s="13"/>
      <c r="B666" s="1" t="s">
        <v>1327</v>
      </c>
      <c r="C666" s="1" t="s">
        <v>24</v>
      </c>
      <c r="D666" s="1" t="s">
        <v>1347</v>
      </c>
      <c r="E666" s="1" t="s">
        <v>1348</v>
      </c>
      <c r="F666" s="2">
        <v>196</v>
      </c>
      <c r="G666" s="3">
        <v>86.2</v>
      </c>
      <c r="H666" s="4" t="str">
        <f>IF(AND(A666="Yes",C666="School"),COUNTIFS($A$6:A666,"Yes",$C$6:C666,"School"),"")</f>
        <v/>
      </c>
    </row>
    <row r="667" spans="1:8">
      <c r="A667" s="13"/>
      <c r="B667" s="1" t="s">
        <v>1327</v>
      </c>
      <c r="C667" s="1" t="s">
        <v>24</v>
      </c>
      <c r="D667" s="1" t="s">
        <v>1349</v>
      </c>
      <c r="E667" s="1" t="s">
        <v>1350</v>
      </c>
      <c r="F667" s="2">
        <v>673</v>
      </c>
      <c r="G667" s="3">
        <v>82.2</v>
      </c>
      <c r="H667" s="4" t="str">
        <f>IF(AND(A667="Yes",C667="School"),COUNTIFS($A$6:A667,"Yes",$C$6:C667,"School"),"")</f>
        <v/>
      </c>
    </row>
    <row r="668" spans="1:8">
      <c r="A668" s="13"/>
      <c r="B668" s="1" t="s">
        <v>1327</v>
      </c>
      <c r="C668" s="1" t="s">
        <v>24</v>
      </c>
      <c r="D668" s="1" t="s">
        <v>1351</v>
      </c>
      <c r="E668" s="1" t="s">
        <v>1352</v>
      </c>
      <c r="F668" s="2">
        <v>512</v>
      </c>
      <c r="G668" s="3">
        <v>60.9</v>
      </c>
      <c r="H668" s="4" t="str">
        <f>IF(AND(A668="Yes",C668="School"),COUNTIFS($A$6:A668,"Yes",$C$6:C668,"School"),"")</f>
        <v/>
      </c>
    </row>
    <row r="669" spans="1:8">
      <c r="A669" s="13"/>
      <c r="B669" s="1" t="s">
        <v>1327</v>
      </c>
      <c r="C669" s="1" t="s">
        <v>24</v>
      </c>
      <c r="D669" s="1" t="s">
        <v>1353</v>
      </c>
      <c r="E669" s="1" t="s">
        <v>1354</v>
      </c>
      <c r="F669" s="2">
        <v>317</v>
      </c>
      <c r="G669" s="3">
        <v>69.7</v>
      </c>
      <c r="H669" s="4" t="str">
        <f>IF(AND(A669="Yes",C669="School"),COUNTIFS($A$6:A669,"Yes",$C$6:C669,"School"),"")</f>
        <v/>
      </c>
    </row>
    <row r="670" spans="1:8">
      <c r="A670" s="13"/>
      <c r="B670" s="1" t="s">
        <v>1327</v>
      </c>
      <c r="C670" s="1" t="s">
        <v>24</v>
      </c>
      <c r="D670" s="1" t="s">
        <v>1355</v>
      </c>
      <c r="E670" s="1" t="s">
        <v>1356</v>
      </c>
      <c r="F670" s="2">
        <v>382</v>
      </c>
      <c r="G670" s="3">
        <v>79.599999999999994</v>
      </c>
      <c r="H670" s="4" t="str">
        <f>IF(AND(A670="Yes",C670="School"),COUNTIFS($A$6:A670,"Yes",$C$6:C670,"School"),"")</f>
        <v/>
      </c>
    </row>
    <row r="671" spans="1:8">
      <c r="A671" s="13"/>
      <c r="B671" s="1" t="s">
        <v>1327</v>
      </c>
      <c r="C671" s="1" t="s">
        <v>24</v>
      </c>
      <c r="D671" s="1" t="s">
        <v>1357</v>
      </c>
      <c r="E671" s="1" t="s">
        <v>1358</v>
      </c>
      <c r="F671" s="2">
        <v>434</v>
      </c>
      <c r="G671" s="3">
        <v>61.3</v>
      </c>
      <c r="H671" s="4" t="str">
        <f>IF(AND(A671="Yes",C671="School"),COUNTIFS($A$6:A671,"Yes",$C$6:C671,"School"),"")</f>
        <v/>
      </c>
    </row>
    <row r="672" spans="1:8">
      <c r="A672" s="13"/>
      <c r="B672" s="1" t="s">
        <v>1327</v>
      </c>
      <c r="C672" s="1" t="s">
        <v>24</v>
      </c>
      <c r="D672" s="1" t="s">
        <v>1359</v>
      </c>
      <c r="E672" s="1" t="s">
        <v>1360</v>
      </c>
      <c r="F672" s="2">
        <v>1144</v>
      </c>
      <c r="G672" s="3">
        <v>55.6</v>
      </c>
      <c r="H672" s="4" t="str">
        <f>IF(AND(A672="Yes",C672="School"),COUNTIFS($A$6:A672,"Yes",$C$6:C672,"School"),"")</f>
        <v/>
      </c>
    </row>
    <row r="673" spans="1:8">
      <c r="A673" s="13"/>
      <c r="B673" s="1" t="s">
        <v>1327</v>
      </c>
      <c r="C673" s="1" t="s">
        <v>24</v>
      </c>
      <c r="D673" s="1" t="s">
        <v>1361</v>
      </c>
      <c r="E673" s="1" t="s">
        <v>1362</v>
      </c>
      <c r="F673" s="2">
        <v>554</v>
      </c>
      <c r="G673" s="3">
        <v>65.7</v>
      </c>
      <c r="H673" s="4" t="str">
        <f>IF(AND(A673="Yes",C673="School"),COUNTIFS($A$6:A673,"Yes",$C$6:C673,"School"),"")</f>
        <v/>
      </c>
    </row>
    <row r="674" spans="1:8">
      <c r="A674" s="13"/>
      <c r="B674" s="1" t="s">
        <v>1327</v>
      </c>
      <c r="C674" s="1" t="s">
        <v>24</v>
      </c>
      <c r="D674" s="1" t="s">
        <v>1363</v>
      </c>
      <c r="E674" s="1" t="s">
        <v>1364</v>
      </c>
      <c r="F674" s="2">
        <v>655</v>
      </c>
      <c r="G674" s="3">
        <v>53.3</v>
      </c>
      <c r="H674" s="4" t="str">
        <f>IF(AND(A674="Yes",C674="School"),COUNTIFS($A$6:A674,"Yes",$C$6:C674,"School"),"")</f>
        <v/>
      </c>
    </row>
    <row r="675" spans="1:8">
      <c r="A675" s="13"/>
      <c r="B675" s="1" t="s">
        <v>1327</v>
      </c>
      <c r="C675" s="1" t="s">
        <v>24</v>
      </c>
      <c r="D675" s="1" t="s">
        <v>745</v>
      </c>
      <c r="E675" s="1" t="s">
        <v>1365</v>
      </c>
      <c r="F675" s="2">
        <v>268</v>
      </c>
      <c r="G675" s="3">
        <v>70.5</v>
      </c>
      <c r="H675" s="4" t="str">
        <f>IF(AND(A675="Yes",C675="School"),COUNTIFS($A$6:A675,"Yes",$C$6:C675,"School"),"")</f>
        <v/>
      </c>
    </row>
    <row r="676" spans="1:8">
      <c r="A676" s="13"/>
      <c r="B676" s="1" t="s">
        <v>1327</v>
      </c>
      <c r="C676" s="1" t="s">
        <v>24</v>
      </c>
      <c r="D676" s="1" t="s">
        <v>1366</v>
      </c>
      <c r="E676" s="1" t="s">
        <v>1367</v>
      </c>
      <c r="F676" s="2">
        <v>69</v>
      </c>
      <c r="G676" s="3">
        <v>87</v>
      </c>
      <c r="H676" s="4" t="str">
        <f>IF(AND(A676="Yes",C676="School"),COUNTIFS($A$6:A676,"Yes",$C$6:C676,"School"),"")</f>
        <v/>
      </c>
    </row>
    <row r="677" spans="1:8">
      <c r="A677" s="13"/>
      <c r="B677" s="1" t="s">
        <v>1327</v>
      </c>
      <c r="C677" s="1" t="s">
        <v>24</v>
      </c>
      <c r="D677" s="1" t="s">
        <v>1368</v>
      </c>
      <c r="E677" s="1" t="s">
        <v>1369</v>
      </c>
      <c r="F677" s="2">
        <v>713</v>
      </c>
      <c r="G677" s="3">
        <v>67</v>
      </c>
      <c r="H677" s="4" t="str">
        <f>IF(AND(A677="Yes",C677="School"),COUNTIFS($A$6:A677,"Yes",$C$6:C677,"School"),"")</f>
        <v/>
      </c>
    </row>
    <row r="678" spans="1:8">
      <c r="A678" s="13"/>
      <c r="B678" s="1" t="s">
        <v>1327</v>
      </c>
      <c r="C678" s="1" t="s">
        <v>24</v>
      </c>
      <c r="D678" s="1" t="s">
        <v>1370</v>
      </c>
      <c r="E678" s="1" t="s">
        <v>1371</v>
      </c>
      <c r="F678" s="2">
        <v>550</v>
      </c>
      <c r="G678" s="3">
        <v>69.8</v>
      </c>
      <c r="H678" s="4" t="str">
        <f>IF(AND(A678="Yes",C678="School"),COUNTIFS($A$6:A678,"Yes",$C$6:C678,"School"),"")</f>
        <v/>
      </c>
    </row>
    <row r="679" spans="1:8">
      <c r="A679" s="13"/>
      <c r="B679" s="1" t="s">
        <v>1327</v>
      </c>
      <c r="C679" s="1" t="s">
        <v>24</v>
      </c>
      <c r="D679" s="1" t="s">
        <v>1372</v>
      </c>
      <c r="E679" s="1" t="s">
        <v>1373</v>
      </c>
      <c r="F679" s="2">
        <v>655</v>
      </c>
      <c r="G679" s="3">
        <v>56.5</v>
      </c>
      <c r="H679" s="4" t="str">
        <f>IF(AND(A679="Yes",C679="School"),COUNTIFS($A$6:A679,"Yes",$C$6:C679,"School"),"")</f>
        <v/>
      </c>
    </row>
    <row r="680" spans="1:8">
      <c r="A680" s="13"/>
      <c r="B680" s="1" t="s">
        <v>1327</v>
      </c>
      <c r="C680" s="1" t="s">
        <v>24</v>
      </c>
      <c r="D680" s="1" t="s">
        <v>1374</v>
      </c>
      <c r="E680" s="1" t="s">
        <v>1375</v>
      </c>
      <c r="F680" s="2">
        <v>542</v>
      </c>
      <c r="G680" s="3">
        <v>85.1</v>
      </c>
      <c r="H680" s="4" t="str">
        <f>IF(AND(A680="Yes",C680="School"),COUNTIFS($A$6:A680,"Yes",$C$6:C680,"School"),"")</f>
        <v/>
      </c>
    </row>
    <row r="681" spans="1:8">
      <c r="A681" s="13"/>
      <c r="B681" s="1" t="s">
        <v>1327</v>
      </c>
      <c r="C681" s="1" t="s">
        <v>24</v>
      </c>
      <c r="D681" s="1" t="s">
        <v>1197</v>
      </c>
      <c r="E681" s="1" t="s">
        <v>1376</v>
      </c>
      <c r="F681" s="2">
        <v>119</v>
      </c>
      <c r="G681" s="3">
        <v>89.1</v>
      </c>
      <c r="H681" s="4" t="str">
        <f>IF(AND(A681="Yes",C681="School"),COUNTIFS($A$6:A681,"Yes",$C$6:C681,"School"),"")</f>
        <v/>
      </c>
    </row>
    <row r="682" spans="1:8">
      <c r="A682" s="13"/>
      <c r="B682" s="1" t="s">
        <v>1327</v>
      </c>
      <c r="C682" s="1" t="s">
        <v>24</v>
      </c>
      <c r="D682" s="1" t="s">
        <v>381</v>
      </c>
      <c r="E682" s="1" t="s">
        <v>1377</v>
      </c>
      <c r="F682" s="2">
        <v>409</v>
      </c>
      <c r="G682" s="3">
        <v>73.8</v>
      </c>
      <c r="H682" s="4" t="str">
        <f>IF(AND(A682="Yes",C682="School"),COUNTIFS($A$6:A682,"Yes",$C$6:C682,"School"),"")</f>
        <v/>
      </c>
    </row>
    <row r="683" spans="1:8">
      <c r="A683" s="13"/>
      <c r="B683" s="1" t="s">
        <v>1327</v>
      </c>
      <c r="C683" s="1" t="s">
        <v>24</v>
      </c>
      <c r="D683" s="1" t="s">
        <v>1378</v>
      </c>
      <c r="E683" s="1" t="s">
        <v>1379</v>
      </c>
      <c r="F683" s="2">
        <v>383</v>
      </c>
      <c r="G683" s="3">
        <v>75.7</v>
      </c>
      <c r="H683" s="4" t="str">
        <f>IF(AND(A683="Yes",C683="School"),COUNTIFS($A$6:A683,"Yes",$C$6:C683,"School"),"")</f>
        <v/>
      </c>
    </row>
    <row r="684" spans="1:8">
      <c r="A684" s="13"/>
      <c r="B684" s="1" t="s">
        <v>1327</v>
      </c>
      <c r="C684" s="1" t="s">
        <v>24</v>
      </c>
      <c r="D684" s="1" t="s">
        <v>1380</v>
      </c>
      <c r="E684" s="1" t="s">
        <v>1381</v>
      </c>
      <c r="F684" s="2">
        <v>283</v>
      </c>
      <c r="G684" s="3">
        <v>55.1</v>
      </c>
      <c r="H684" s="4" t="str">
        <f>IF(AND(A684="Yes",C684="School"),COUNTIFS($A$6:A684,"Yes",$C$6:C684,"School"),"")</f>
        <v/>
      </c>
    </row>
    <row r="685" spans="1:8">
      <c r="A685" s="13"/>
      <c r="B685" s="1" t="s">
        <v>1382</v>
      </c>
      <c r="C685" s="1" t="s">
        <v>40</v>
      </c>
      <c r="D685" s="1" t="s">
        <v>41</v>
      </c>
      <c r="E685" s="1" t="s">
        <v>1383</v>
      </c>
      <c r="F685" s="2">
        <v>3029</v>
      </c>
      <c r="G685" s="3">
        <v>63.2</v>
      </c>
      <c r="H685" s="4" t="str">
        <f>IF(AND(A685="Yes",C685="School"),COUNTIFS($A$6:A685,"Yes",$C$6:C685,"School"),"")</f>
        <v/>
      </c>
    </row>
    <row r="686" spans="1:8">
      <c r="A686" s="13"/>
      <c r="B686" s="1" t="s">
        <v>1382</v>
      </c>
      <c r="C686" s="1" t="s">
        <v>24</v>
      </c>
      <c r="D686" s="1" t="s">
        <v>1384</v>
      </c>
      <c r="E686" s="1" t="s">
        <v>1385</v>
      </c>
      <c r="F686" s="2">
        <v>447</v>
      </c>
      <c r="G686" s="3">
        <v>65.3</v>
      </c>
      <c r="H686" s="4" t="str">
        <f>IF(AND(A686="Yes",C686="School"),COUNTIFS($A$6:A686,"Yes",$C$6:C686,"School"),"")</f>
        <v/>
      </c>
    </row>
    <row r="687" spans="1:8">
      <c r="A687" s="13"/>
      <c r="B687" s="1" t="s">
        <v>1382</v>
      </c>
      <c r="C687" s="1" t="s">
        <v>24</v>
      </c>
      <c r="D687" s="1" t="s">
        <v>1386</v>
      </c>
      <c r="E687" s="1" t="s">
        <v>1387</v>
      </c>
      <c r="F687" s="2">
        <v>798</v>
      </c>
      <c r="G687" s="3">
        <v>55.3</v>
      </c>
      <c r="H687" s="4" t="str">
        <f>IF(AND(A687="Yes",C687="School"),COUNTIFS($A$6:A687,"Yes",$C$6:C687,"School"),"")</f>
        <v/>
      </c>
    </row>
    <row r="688" spans="1:8">
      <c r="A688" s="13"/>
      <c r="B688" s="1" t="s">
        <v>1382</v>
      </c>
      <c r="C688" s="1" t="s">
        <v>24</v>
      </c>
      <c r="D688" s="1" t="s">
        <v>1388</v>
      </c>
      <c r="E688" s="1" t="s">
        <v>1389</v>
      </c>
      <c r="F688" s="2">
        <v>388</v>
      </c>
      <c r="G688" s="3">
        <v>75.5</v>
      </c>
      <c r="H688" s="4" t="str">
        <f>IF(AND(A688="Yes",C688="School"),COUNTIFS($A$6:A688,"Yes",$C$6:C688,"School"),"")</f>
        <v/>
      </c>
    </row>
    <row r="689" spans="1:8">
      <c r="A689" s="13"/>
      <c r="B689" s="1" t="s">
        <v>1382</v>
      </c>
      <c r="C689" s="1" t="s">
        <v>24</v>
      </c>
      <c r="D689" s="1" t="s">
        <v>1390</v>
      </c>
      <c r="E689" s="1" t="s">
        <v>1391</v>
      </c>
      <c r="F689" s="2">
        <v>703</v>
      </c>
      <c r="G689" s="3">
        <v>60.2</v>
      </c>
      <c r="H689" s="4" t="str">
        <f>IF(AND(A689="Yes",C689="School"),COUNTIFS($A$6:A689,"Yes",$C$6:C689,"School"),"")</f>
        <v/>
      </c>
    </row>
    <row r="690" spans="1:8">
      <c r="A690" s="13"/>
      <c r="B690" s="1" t="s">
        <v>1382</v>
      </c>
      <c r="C690" s="1" t="s">
        <v>24</v>
      </c>
      <c r="D690" s="1" t="s">
        <v>1392</v>
      </c>
      <c r="E690" s="1" t="s">
        <v>1393</v>
      </c>
      <c r="F690" s="2">
        <v>693</v>
      </c>
      <c r="G690" s="3">
        <v>67.099999999999994</v>
      </c>
      <c r="H690" s="4" t="str">
        <f>IF(AND(A690="Yes",C690="School"),COUNTIFS($A$6:A690,"Yes",$C$6:C690,"School"),"")</f>
        <v/>
      </c>
    </row>
    <row r="691" spans="1:8">
      <c r="A691" s="13"/>
      <c r="B691" s="1" t="s">
        <v>1394</v>
      </c>
      <c r="C691" s="1" t="s">
        <v>24</v>
      </c>
      <c r="D691" s="1" t="s">
        <v>1394</v>
      </c>
      <c r="E691" s="1" t="s">
        <v>1395</v>
      </c>
      <c r="F691" s="2">
        <v>933</v>
      </c>
      <c r="G691" s="3">
        <v>29.3</v>
      </c>
      <c r="H691" s="4" t="str">
        <f>IF(AND(A691="Yes",C691="School"),COUNTIFS($A$6:A691,"Yes",$C$6:C691,"School"),"")</f>
        <v/>
      </c>
    </row>
    <row r="692" spans="1:8">
      <c r="A692" s="13"/>
      <c r="B692" s="1" t="s">
        <v>1396</v>
      </c>
      <c r="C692" s="1" t="s">
        <v>24</v>
      </c>
      <c r="D692" s="1" t="s">
        <v>1396</v>
      </c>
      <c r="E692" s="1" t="s">
        <v>1397</v>
      </c>
      <c r="F692" s="2">
        <v>870</v>
      </c>
      <c r="G692" s="3">
        <v>72.8</v>
      </c>
      <c r="H692" s="4" t="str">
        <f>IF(AND(A692="Yes",C692="School"),COUNTIFS($A$6:A692,"Yes",$C$6:C692,"School"),"")</f>
        <v/>
      </c>
    </row>
    <row r="693" spans="1:8">
      <c r="A693" s="13"/>
      <c r="B693" s="1" t="s">
        <v>1398</v>
      </c>
      <c r="C693" s="1" t="s">
        <v>40</v>
      </c>
      <c r="D693" s="1" t="s">
        <v>41</v>
      </c>
      <c r="E693" s="1" t="s">
        <v>1399</v>
      </c>
      <c r="F693" s="2">
        <v>5201</v>
      </c>
      <c r="G693" s="3">
        <v>61</v>
      </c>
      <c r="H693" s="4" t="str">
        <f>IF(AND(A693="Yes",C693="School"),COUNTIFS($A$6:A693,"Yes",$C$6:C693,"School"),"")</f>
        <v/>
      </c>
    </row>
    <row r="694" spans="1:8">
      <c r="A694" s="13"/>
      <c r="B694" s="1" t="s">
        <v>1398</v>
      </c>
      <c r="C694" s="1" t="s">
        <v>24</v>
      </c>
      <c r="D694" s="1" t="s">
        <v>1400</v>
      </c>
      <c r="E694" s="1" t="s">
        <v>1401</v>
      </c>
      <c r="F694" s="2">
        <v>340</v>
      </c>
      <c r="G694" s="3">
        <v>64.400000000000006</v>
      </c>
      <c r="H694" s="4" t="str">
        <f>IF(AND(A694="Yes",C694="School"),COUNTIFS($A$6:A694,"Yes",$C$6:C694,"School"),"")</f>
        <v/>
      </c>
    </row>
    <row r="695" spans="1:8">
      <c r="A695" s="13"/>
      <c r="B695" s="1" t="s">
        <v>1398</v>
      </c>
      <c r="C695" s="1" t="s">
        <v>24</v>
      </c>
      <c r="D695" s="1" t="s">
        <v>1402</v>
      </c>
      <c r="E695" s="1" t="s">
        <v>1403</v>
      </c>
      <c r="F695" s="2">
        <v>244</v>
      </c>
      <c r="G695" s="3">
        <v>84</v>
      </c>
      <c r="H695" s="4" t="str">
        <f>IF(AND(A695="Yes",C695="School"),COUNTIFS($A$6:A695,"Yes",$C$6:C695,"School"),"")</f>
        <v/>
      </c>
    </row>
    <row r="696" spans="1:8">
      <c r="A696" s="13"/>
      <c r="B696" s="1" t="s">
        <v>1398</v>
      </c>
      <c r="C696" s="1" t="s">
        <v>24</v>
      </c>
      <c r="D696" s="1" t="s">
        <v>1404</v>
      </c>
      <c r="E696" s="1" t="s">
        <v>1405</v>
      </c>
      <c r="F696" s="2">
        <v>224</v>
      </c>
      <c r="G696" s="3">
        <v>48.7</v>
      </c>
      <c r="H696" s="4" t="str">
        <f>IF(AND(A696="Yes",C696="School"),COUNTIFS($A$6:A696,"Yes",$C$6:C696,"School"),"")</f>
        <v/>
      </c>
    </row>
    <row r="697" spans="1:8">
      <c r="A697" s="13"/>
      <c r="B697" s="1" t="s">
        <v>1398</v>
      </c>
      <c r="C697" s="1" t="s">
        <v>24</v>
      </c>
      <c r="D697" s="1" t="s">
        <v>1406</v>
      </c>
      <c r="E697" s="1" t="s">
        <v>1407</v>
      </c>
      <c r="F697" s="2">
        <v>567</v>
      </c>
      <c r="G697" s="3">
        <v>56.4</v>
      </c>
      <c r="H697" s="4" t="str">
        <f>IF(AND(A697="Yes",C697="School"),COUNTIFS($A$6:A697,"Yes",$C$6:C697,"School"),"")</f>
        <v/>
      </c>
    </row>
    <row r="698" spans="1:8">
      <c r="A698" s="13"/>
      <c r="B698" s="1" t="s">
        <v>1398</v>
      </c>
      <c r="C698" s="1" t="s">
        <v>24</v>
      </c>
      <c r="D698" s="1" t="s">
        <v>1408</v>
      </c>
      <c r="E698" s="1" t="s">
        <v>1409</v>
      </c>
      <c r="F698" s="2">
        <v>377</v>
      </c>
      <c r="G698" s="3">
        <v>65.3</v>
      </c>
      <c r="H698" s="4" t="str">
        <f>IF(AND(A698="Yes",C698="School"),COUNTIFS($A$6:A698,"Yes",$C$6:C698,"School"),"")</f>
        <v/>
      </c>
    </row>
    <row r="699" spans="1:8">
      <c r="A699" s="13"/>
      <c r="B699" s="1" t="s">
        <v>1398</v>
      </c>
      <c r="C699" s="1" t="s">
        <v>24</v>
      </c>
      <c r="D699" s="1" t="s">
        <v>1410</v>
      </c>
      <c r="E699" s="1" t="s">
        <v>1411</v>
      </c>
      <c r="F699" s="2">
        <v>183</v>
      </c>
      <c r="G699" s="3">
        <v>53.6</v>
      </c>
      <c r="H699" s="4" t="str">
        <f>IF(AND(A699="Yes",C699="School"),COUNTIFS($A$6:A699,"Yes",$C$6:C699,"School"),"")</f>
        <v/>
      </c>
    </row>
    <row r="700" spans="1:8">
      <c r="A700" s="13"/>
      <c r="B700" s="1" t="s">
        <v>1398</v>
      </c>
      <c r="C700" s="1" t="s">
        <v>24</v>
      </c>
      <c r="D700" s="1" t="s">
        <v>1412</v>
      </c>
      <c r="E700" s="1" t="s">
        <v>1413</v>
      </c>
      <c r="F700" s="2">
        <v>255</v>
      </c>
      <c r="G700" s="3">
        <v>64.3</v>
      </c>
      <c r="H700" s="4" t="str">
        <f>IF(AND(A700="Yes",C700="School"),COUNTIFS($A$6:A700,"Yes",$C$6:C700,"School"),"")</f>
        <v/>
      </c>
    </row>
    <row r="701" spans="1:8">
      <c r="A701" s="13"/>
      <c r="B701" s="1" t="s">
        <v>1398</v>
      </c>
      <c r="C701" s="1" t="s">
        <v>24</v>
      </c>
      <c r="D701" s="1" t="s">
        <v>1414</v>
      </c>
      <c r="E701" s="1" t="s">
        <v>1415</v>
      </c>
      <c r="F701" s="2">
        <v>589</v>
      </c>
      <c r="G701" s="3">
        <v>49.1</v>
      </c>
      <c r="H701" s="4" t="str">
        <f>IF(AND(A701="Yes",C701="School"),COUNTIFS($A$6:A701,"Yes",$C$6:C701,"School"),"")</f>
        <v/>
      </c>
    </row>
    <row r="702" spans="1:8">
      <c r="A702" s="13"/>
      <c r="B702" s="1" t="s">
        <v>1398</v>
      </c>
      <c r="C702" s="1" t="s">
        <v>24</v>
      </c>
      <c r="D702" s="1" t="s">
        <v>1416</v>
      </c>
      <c r="E702" s="1" t="s">
        <v>1417</v>
      </c>
      <c r="F702" s="2">
        <v>584</v>
      </c>
      <c r="G702" s="3">
        <v>71.099999999999994</v>
      </c>
      <c r="H702" s="4" t="str">
        <f>IF(AND(A702="Yes",C702="School"),COUNTIFS($A$6:A702,"Yes",$C$6:C702,"School"),"")</f>
        <v/>
      </c>
    </row>
    <row r="703" spans="1:8">
      <c r="A703" s="13"/>
      <c r="B703" s="1" t="s">
        <v>1398</v>
      </c>
      <c r="C703" s="1" t="s">
        <v>24</v>
      </c>
      <c r="D703" s="1" t="s">
        <v>1418</v>
      </c>
      <c r="E703" s="1" t="s">
        <v>1419</v>
      </c>
      <c r="F703" s="2">
        <v>404</v>
      </c>
      <c r="G703" s="3">
        <v>66.599999999999994</v>
      </c>
      <c r="H703" s="4" t="str">
        <f>IF(AND(A703="Yes",C703="School"),COUNTIFS($A$6:A703,"Yes",$C$6:C703,"School"),"")</f>
        <v/>
      </c>
    </row>
    <row r="704" spans="1:8">
      <c r="A704" s="13"/>
      <c r="B704" s="1" t="s">
        <v>1398</v>
      </c>
      <c r="C704" s="1" t="s">
        <v>24</v>
      </c>
      <c r="D704" s="1" t="s">
        <v>1420</v>
      </c>
      <c r="E704" s="1" t="s">
        <v>1421</v>
      </c>
      <c r="F704" s="2">
        <v>786</v>
      </c>
      <c r="G704" s="3">
        <v>67.8</v>
      </c>
      <c r="H704" s="4" t="str">
        <f>IF(AND(A704="Yes",C704="School"),COUNTIFS($A$6:A704,"Yes",$C$6:C704,"School"),"")</f>
        <v/>
      </c>
    </row>
    <row r="705" spans="1:8">
      <c r="A705" s="13"/>
      <c r="B705" s="1" t="s">
        <v>1398</v>
      </c>
      <c r="C705" s="1" t="s">
        <v>24</v>
      </c>
      <c r="D705" s="1" t="s">
        <v>1422</v>
      </c>
      <c r="E705" s="1" t="s">
        <v>1423</v>
      </c>
      <c r="F705" s="2">
        <v>648</v>
      </c>
      <c r="G705" s="3">
        <v>47.5</v>
      </c>
      <c r="H705" s="4" t="str">
        <f>IF(AND(A705="Yes",C705="School"),COUNTIFS($A$6:A705,"Yes",$C$6:C705,"School"),"")</f>
        <v/>
      </c>
    </row>
    <row r="706" spans="1:8">
      <c r="A706" s="13"/>
      <c r="B706" s="1" t="s">
        <v>1424</v>
      </c>
      <c r="C706" s="1" t="s">
        <v>24</v>
      </c>
      <c r="D706" s="1" t="s">
        <v>1424</v>
      </c>
      <c r="E706" s="1" t="s">
        <v>1425</v>
      </c>
      <c r="F706" s="2">
        <v>394</v>
      </c>
      <c r="G706" s="3">
        <v>62.2</v>
      </c>
      <c r="H706" s="4" t="str">
        <f>IF(AND(A706="Yes",C706="School"),COUNTIFS($A$6:A706,"Yes",$C$6:C706,"School"),"")</f>
        <v/>
      </c>
    </row>
    <row r="707" spans="1:8">
      <c r="A707" s="13"/>
      <c r="B707" s="1" t="s">
        <v>1426</v>
      </c>
      <c r="C707" s="1" t="s">
        <v>24</v>
      </c>
      <c r="D707" s="1" t="s">
        <v>1426</v>
      </c>
      <c r="E707" s="1" t="s">
        <v>1427</v>
      </c>
      <c r="F707" s="2">
        <v>873</v>
      </c>
      <c r="G707" s="3">
        <v>43.3</v>
      </c>
      <c r="H707" s="4" t="str">
        <f>IF(AND(A707="Yes",C707="School"),COUNTIFS($A$6:A707,"Yes",$C$6:C707,"School"),"")</f>
        <v/>
      </c>
    </row>
    <row r="708" spans="1:8">
      <c r="A708" s="13"/>
      <c r="B708" s="1" t="s">
        <v>1428</v>
      </c>
      <c r="C708" s="1" t="s">
        <v>24</v>
      </c>
      <c r="D708" s="1" t="s">
        <v>1428</v>
      </c>
      <c r="E708" s="1" t="s">
        <v>1429</v>
      </c>
      <c r="F708" s="2">
        <v>1586</v>
      </c>
      <c r="G708" s="3">
        <v>10.5</v>
      </c>
      <c r="H708" s="4" t="str">
        <f>IF(AND(A708="Yes",C708="School"),COUNTIFS($A$6:A708,"Yes",$C$6:C708,"School"),"")</f>
        <v/>
      </c>
    </row>
    <row r="709" spans="1:8">
      <c r="A709" s="13"/>
      <c r="B709" s="1" t="s">
        <v>1430</v>
      </c>
      <c r="C709" s="1" t="s">
        <v>24</v>
      </c>
      <c r="D709" s="1" t="s">
        <v>1430</v>
      </c>
      <c r="E709" s="1" t="s">
        <v>1431</v>
      </c>
      <c r="F709" s="2">
        <v>137</v>
      </c>
      <c r="G709" s="3">
        <v>73</v>
      </c>
      <c r="H709" s="4" t="str">
        <f>IF(AND(A709="Yes",C709="School"),COUNTIFS($A$6:A709,"Yes",$C$6:C709,"School"),"")</f>
        <v/>
      </c>
    </row>
    <row r="710" spans="1:8">
      <c r="A710" s="13"/>
      <c r="B710" s="1" t="s">
        <v>1432</v>
      </c>
      <c r="C710" s="1" t="s">
        <v>24</v>
      </c>
      <c r="D710" s="1" t="s">
        <v>1432</v>
      </c>
      <c r="E710" s="1" t="s">
        <v>1433</v>
      </c>
      <c r="F710" s="2">
        <v>807</v>
      </c>
      <c r="G710" s="3">
        <v>58.7</v>
      </c>
      <c r="H710" s="4" t="str">
        <f>IF(AND(A710="Yes",C710="School"),COUNTIFS($A$6:A710,"Yes",$C$6:C710,"School"),"")</f>
        <v/>
      </c>
    </row>
    <row r="711" spans="1:8">
      <c r="A711" s="13"/>
      <c r="B711" s="1" t="s">
        <v>1434</v>
      </c>
      <c r="C711" s="1" t="s">
        <v>24</v>
      </c>
      <c r="D711" s="1" t="s">
        <v>1434</v>
      </c>
      <c r="E711" s="1" t="s">
        <v>1435</v>
      </c>
      <c r="F711" s="2">
        <v>1331</v>
      </c>
      <c r="G711" s="3">
        <v>16.399999999999999</v>
      </c>
      <c r="H711" s="4" t="str">
        <f>IF(AND(A711="Yes",C711="School"),COUNTIFS($A$6:A711,"Yes",$C$6:C711,"School"),"")</f>
        <v/>
      </c>
    </row>
    <row r="712" spans="1:8">
      <c r="A712" s="13"/>
      <c r="B712" s="1" t="s">
        <v>1436</v>
      </c>
      <c r="C712" s="1" t="s">
        <v>24</v>
      </c>
      <c r="D712" s="1" t="s">
        <v>1436</v>
      </c>
      <c r="E712" s="1" t="s">
        <v>1437</v>
      </c>
      <c r="F712" s="2">
        <v>1403</v>
      </c>
      <c r="G712" s="3">
        <v>21.5</v>
      </c>
      <c r="H712" s="4" t="str">
        <f>IF(AND(A712="Yes",C712="School"),COUNTIFS($A$6:A712,"Yes",$C$6:C712,"School"),"")</f>
        <v/>
      </c>
    </row>
    <row r="713" spans="1:8">
      <c r="A713" s="13"/>
      <c r="B713" s="1" t="s">
        <v>1438</v>
      </c>
      <c r="C713" s="1" t="s">
        <v>40</v>
      </c>
      <c r="D713" s="1" t="s">
        <v>41</v>
      </c>
      <c r="E713" s="1" t="s">
        <v>1439</v>
      </c>
      <c r="F713" s="2">
        <v>11800</v>
      </c>
      <c r="G713" s="3">
        <v>53.8</v>
      </c>
      <c r="H713" s="4" t="str">
        <f>IF(AND(A713="Yes",C713="School"),COUNTIFS($A$6:A713,"Yes",$C$6:C713,"School"),"")</f>
        <v/>
      </c>
    </row>
    <row r="714" spans="1:8">
      <c r="A714" s="13"/>
      <c r="B714" s="1" t="s">
        <v>1438</v>
      </c>
      <c r="C714" s="1" t="s">
        <v>24</v>
      </c>
      <c r="D714" s="1" t="s">
        <v>1440</v>
      </c>
      <c r="E714" s="1" t="s">
        <v>1441</v>
      </c>
      <c r="F714" s="2">
        <v>449</v>
      </c>
      <c r="G714" s="3">
        <v>44.1</v>
      </c>
      <c r="H714" s="4" t="str">
        <f>IF(AND(A714="Yes",C714="School"),COUNTIFS($A$6:A714,"Yes",$C$6:C714,"School"),"")</f>
        <v/>
      </c>
    </row>
    <row r="715" spans="1:8">
      <c r="A715" s="13"/>
      <c r="B715" s="1" t="s">
        <v>1438</v>
      </c>
      <c r="C715" s="1" t="s">
        <v>24</v>
      </c>
      <c r="D715" s="1" t="s">
        <v>1442</v>
      </c>
      <c r="E715" s="1" t="s">
        <v>1443</v>
      </c>
      <c r="F715" s="2">
        <v>453</v>
      </c>
      <c r="G715" s="3">
        <v>48.3</v>
      </c>
      <c r="H715" s="4" t="str">
        <f>IF(AND(A715="Yes",C715="School"),COUNTIFS($A$6:A715,"Yes",$C$6:C715,"School"),"")</f>
        <v/>
      </c>
    </row>
    <row r="716" spans="1:8">
      <c r="A716" s="13"/>
      <c r="B716" s="1" t="s">
        <v>1438</v>
      </c>
      <c r="C716" s="1" t="s">
        <v>24</v>
      </c>
      <c r="D716" s="1" t="s">
        <v>1444</v>
      </c>
      <c r="E716" s="1" t="s">
        <v>1445</v>
      </c>
      <c r="F716" s="2">
        <v>318</v>
      </c>
      <c r="G716" s="3">
        <v>55</v>
      </c>
      <c r="H716" s="4" t="str">
        <f>IF(AND(A716="Yes",C716="School"),COUNTIFS($A$6:A716,"Yes",$C$6:C716,"School"),"")</f>
        <v/>
      </c>
    </row>
    <row r="717" spans="1:8">
      <c r="A717" s="13"/>
      <c r="B717" s="1" t="s">
        <v>1438</v>
      </c>
      <c r="C717" s="1" t="s">
        <v>24</v>
      </c>
      <c r="D717" s="1" t="s">
        <v>1446</v>
      </c>
      <c r="E717" s="1" t="s">
        <v>1447</v>
      </c>
      <c r="F717" s="2">
        <v>412</v>
      </c>
      <c r="G717" s="3">
        <v>58</v>
      </c>
      <c r="H717" s="4" t="str">
        <f>IF(AND(A717="Yes",C717="School"),COUNTIFS($A$6:A717,"Yes",$C$6:C717,"School"),"")</f>
        <v/>
      </c>
    </row>
    <row r="718" spans="1:8">
      <c r="A718" s="13"/>
      <c r="B718" s="1" t="s">
        <v>1438</v>
      </c>
      <c r="C718" s="1" t="s">
        <v>24</v>
      </c>
      <c r="D718" s="1" t="s">
        <v>1448</v>
      </c>
      <c r="E718" s="1" t="s">
        <v>1449</v>
      </c>
      <c r="F718" s="2">
        <v>435</v>
      </c>
      <c r="G718" s="3">
        <v>47.8</v>
      </c>
      <c r="H718" s="4" t="str">
        <f>IF(AND(A718="Yes",C718="School"),COUNTIFS($A$6:A718,"Yes",$C$6:C718,"School"),"")</f>
        <v/>
      </c>
    </row>
    <row r="719" spans="1:8">
      <c r="A719" s="13"/>
      <c r="B719" s="1" t="s">
        <v>1438</v>
      </c>
      <c r="C719" s="1" t="s">
        <v>24</v>
      </c>
      <c r="D719" s="1" t="s">
        <v>1450</v>
      </c>
      <c r="E719" s="1" t="s">
        <v>1451</v>
      </c>
      <c r="F719" s="2">
        <v>208</v>
      </c>
      <c r="G719" s="3">
        <v>35.6</v>
      </c>
      <c r="H719" s="4" t="str">
        <f>IF(AND(A719="Yes",C719="School"),COUNTIFS($A$6:A719,"Yes",$C$6:C719,"School"),"")</f>
        <v/>
      </c>
    </row>
    <row r="720" spans="1:8">
      <c r="A720" s="13"/>
      <c r="B720" s="1" t="s">
        <v>1438</v>
      </c>
      <c r="C720" s="1" t="s">
        <v>24</v>
      </c>
      <c r="D720" s="1" t="s">
        <v>1452</v>
      </c>
      <c r="E720" s="1" t="s">
        <v>1453</v>
      </c>
      <c r="F720" s="2">
        <v>109</v>
      </c>
      <c r="G720" s="3">
        <v>56.9</v>
      </c>
      <c r="H720" s="4" t="str">
        <f>IF(AND(A720="Yes",C720="School"),COUNTIFS($A$6:A720,"Yes",$C$6:C720,"School"),"")</f>
        <v/>
      </c>
    </row>
    <row r="721" spans="1:8">
      <c r="A721" s="13"/>
      <c r="B721" s="1" t="s">
        <v>1438</v>
      </c>
      <c r="C721" s="1" t="s">
        <v>24</v>
      </c>
      <c r="D721" s="1" t="s">
        <v>1454</v>
      </c>
      <c r="E721" s="1" t="s">
        <v>1455</v>
      </c>
      <c r="F721" s="2">
        <v>451</v>
      </c>
      <c r="G721" s="3">
        <v>24.8</v>
      </c>
      <c r="H721" s="4" t="str">
        <f>IF(AND(A721="Yes",C721="School"),COUNTIFS($A$6:A721,"Yes",$C$6:C721,"School"),"")</f>
        <v/>
      </c>
    </row>
    <row r="722" spans="1:8">
      <c r="A722" s="13"/>
      <c r="B722" s="1" t="s">
        <v>1438</v>
      </c>
      <c r="C722" s="1" t="s">
        <v>24</v>
      </c>
      <c r="D722" s="1" t="s">
        <v>1456</v>
      </c>
      <c r="E722" s="1" t="s">
        <v>1457</v>
      </c>
      <c r="F722" s="2">
        <v>194</v>
      </c>
      <c r="G722" s="3">
        <v>29.4</v>
      </c>
      <c r="H722" s="4" t="str">
        <f>IF(AND(A722="Yes",C722="School"),COUNTIFS($A$6:A722,"Yes",$C$6:C722,"School"),"")</f>
        <v/>
      </c>
    </row>
    <row r="723" spans="1:8">
      <c r="A723" s="13"/>
      <c r="B723" s="1" t="s">
        <v>1438</v>
      </c>
      <c r="C723" s="1" t="s">
        <v>24</v>
      </c>
      <c r="D723" s="1" t="s">
        <v>1458</v>
      </c>
      <c r="E723" s="1" t="s">
        <v>1459</v>
      </c>
      <c r="F723" s="2">
        <v>268</v>
      </c>
      <c r="G723" s="3">
        <v>63.8</v>
      </c>
      <c r="H723" s="4" t="str">
        <f>IF(AND(A723="Yes",C723="School"),COUNTIFS($A$6:A723,"Yes",$C$6:C723,"School"),"")</f>
        <v/>
      </c>
    </row>
    <row r="724" spans="1:8">
      <c r="A724" s="13"/>
      <c r="B724" s="1" t="s">
        <v>1438</v>
      </c>
      <c r="C724" s="1" t="s">
        <v>24</v>
      </c>
      <c r="D724" s="1" t="s">
        <v>1460</v>
      </c>
      <c r="E724" s="1" t="s">
        <v>1461</v>
      </c>
      <c r="F724" s="2">
        <v>531</v>
      </c>
      <c r="G724" s="3">
        <v>43.9</v>
      </c>
      <c r="H724" s="4" t="str">
        <f>IF(AND(A724="Yes",C724="School"),COUNTIFS($A$6:A724,"Yes",$C$6:C724,"School"),"")</f>
        <v/>
      </c>
    </row>
    <row r="725" spans="1:8">
      <c r="A725" s="13"/>
      <c r="B725" s="1" t="s">
        <v>1438</v>
      </c>
      <c r="C725" s="1" t="s">
        <v>24</v>
      </c>
      <c r="D725" s="1" t="s">
        <v>1462</v>
      </c>
      <c r="E725" s="1" t="s">
        <v>1463</v>
      </c>
      <c r="F725" s="2">
        <v>626</v>
      </c>
      <c r="G725" s="3">
        <v>60.1</v>
      </c>
      <c r="H725" s="4" t="str">
        <f>IF(AND(A725="Yes",C725="School"),COUNTIFS($A$6:A725,"Yes",$C$6:C725,"School"),"")</f>
        <v/>
      </c>
    </row>
    <row r="726" spans="1:8">
      <c r="A726" s="13"/>
      <c r="B726" s="1" t="s">
        <v>1438</v>
      </c>
      <c r="C726" s="1" t="s">
        <v>24</v>
      </c>
      <c r="D726" s="1" t="s">
        <v>1464</v>
      </c>
      <c r="E726" s="1" t="s">
        <v>1465</v>
      </c>
      <c r="F726" s="2">
        <v>254</v>
      </c>
      <c r="G726" s="3">
        <v>69.7</v>
      </c>
      <c r="H726" s="4" t="str">
        <f>IF(AND(A726="Yes",C726="School"),COUNTIFS($A$6:A726,"Yes",$C$6:C726,"School"),"")</f>
        <v/>
      </c>
    </row>
    <row r="727" spans="1:8">
      <c r="A727" s="13"/>
      <c r="B727" s="1" t="s">
        <v>1438</v>
      </c>
      <c r="C727" s="1" t="s">
        <v>24</v>
      </c>
      <c r="D727" s="1" t="s">
        <v>1466</v>
      </c>
      <c r="E727" s="1" t="s">
        <v>1467</v>
      </c>
      <c r="F727" s="2">
        <v>930</v>
      </c>
      <c r="G727" s="3">
        <v>46.8</v>
      </c>
      <c r="H727" s="4" t="str">
        <f>IF(AND(A727="Yes",C727="School"),COUNTIFS($A$6:A727,"Yes",$C$6:C727,"School"),"")</f>
        <v/>
      </c>
    </row>
    <row r="728" spans="1:8">
      <c r="A728" s="13"/>
      <c r="B728" s="1" t="s">
        <v>1438</v>
      </c>
      <c r="C728" s="1" t="s">
        <v>24</v>
      </c>
      <c r="D728" s="1" t="s">
        <v>1468</v>
      </c>
      <c r="E728" s="1" t="s">
        <v>1469</v>
      </c>
      <c r="F728" s="2">
        <v>315</v>
      </c>
      <c r="G728" s="3">
        <v>62.5</v>
      </c>
      <c r="H728" s="4" t="str">
        <f>IF(AND(A728="Yes",C728="School"),COUNTIFS($A$6:A728,"Yes",$C$6:C728,"School"),"")</f>
        <v/>
      </c>
    </row>
    <row r="729" spans="1:8">
      <c r="A729" s="13"/>
      <c r="B729" s="1" t="s">
        <v>1438</v>
      </c>
      <c r="C729" s="1" t="s">
        <v>24</v>
      </c>
      <c r="D729" s="1" t="s">
        <v>1470</v>
      </c>
      <c r="E729" s="1" t="s">
        <v>1471</v>
      </c>
      <c r="F729" s="2">
        <v>312</v>
      </c>
      <c r="G729" s="3">
        <v>80.400000000000006</v>
      </c>
      <c r="H729" s="4" t="str">
        <f>IF(AND(A729="Yes",C729="School"),COUNTIFS($A$6:A729,"Yes",$C$6:C729,"School"),"")</f>
        <v/>
      </c>
    </row>
    <row r="730" spans="1:8">
      <c r="A730" s="13"/>
      <c r="B730" s="1" t="s">
        <v>1438</v>
      </c>
      <c r="C730" s="1" t="s">
        <v>24</v>
      </c>
      <c r="D730" s="1" t="s">
        <v>1472</v>
      </c>
      <c r="E730" s="1" t="s">
        <v>1473</v>
      </c>
      <c r="F730" s="2">
        <v>321</v>
      </c>
      <c r="G730" s="3">
        <v>68.8</v>
      </c>
      <c r="H730" s="4" t="str">
        <f>IF(AND(A730="Yes",C730="School"),COUNTIFS($A$6:A730,"Yes",$C$6:C730,"School"),"")</f>
        <v/>
      </c>
    </row>
    <row r="731" spans="1:8">
      <c r="A731" s="13"/>
      <c r="B731" s="1" t="s">
        <v>1438</v>
      </c>
      <c r="C731" s="1" t="s">
        <v>24</v>
      </c>
      <c r="D731" s="1" t="s">
        <v>1474</v>
      </c>
      <c r="E731" s="1" t="s">
        <v>1475</v>
      </c>
      <c r="F731" s="2">
        <v>1486</v>
      </c>
      <c r="G731" s="3">
        <v>48.4</v>
      </c>
      <c r="H731" s="4" t="str">
        <f>IF(AND(A731="Yes",C731="School"),COUNTIFS($A$6:A731,"Yes",$C$6:C731,"School"),"")</f>
        <v/>
      </c>
    </row>
    <row r="732" spans="1:8">
      <c r="A732" s="13"/>
      <c r="B732" s="1" t="s">
        <v>1438</v>
      </c>
      <c r="C732" s="1" t="s">
        <v>24</v>
      </c>
      <c r="D732" s="1" t="s">
        <v>1476</v>
      </c>
      <c r="E732" s="1" t="s">
        <v>1477</v>
      </c>
      <c r="F732" s="2">
        <v>349</v>
      </c>
      <c r="G732" s="3">
        <v>71.3</v>
      </c>
      <c r="H732" s="4" t="str">
        <f>IF(AND(A732="Yes",C732="School"),COUNTIFS($A$6:A732,"Yes",$C$6:C732,"School"),"")</f>
        <v/>
      </c>
    </row>
    <row r="733" spans="1:8">
      <c r="A733" s="13"/>
      <c r="B733" s="1" t="s">
        <v>1438</v>
      </c>
      <c r="C733" s="1" t="s">
        <v>24</v>
      </c>
      <c r="D733" s="1" t="s">
        <v>1478</v>
      </c>
      <c r="E733" s="1" t="s">
        <v>1479</v>
      </c>
      <c r="F733" s="2">
        <v>404</v>
      </c>
      <c r="G733" s="3">
        <v>53.5</v>
      </c>
      <c r="H733" s="4" t="str">
        <f>IF(AND(A733="Yes",C733="School"),COUNTIFS($A$6:A733,"Yes",$C$6:C733,"School"),"")</f>
        <v/>
      </c>
    </row>
    <row r="734" spans="1:8">
      <c r="A734" s="13"/>
      <c r="B734" s="1" t="s">
        <v>1438</v>
      </c>
      <c r="C734" s="1" t="s">
        <v>24</v>
      </c>
      <c r="D734" s="1" t="s">
        <v>1480</v>
      </c>
      <c r="E734" s="1" t="s">
        <v>1481</v>
      </c>
      <c r="F734" s="2">
        <v>350</v>
      </c>
      <c r="G734" s="3">
        <v>66.900000000000006</v>
      </c>
      <c r="H734" s="4" t="str">
        <f>IF(AND(A734="Yes",C734="School"),COUNTIFS($A$6:A734,"Yes",$C$6:C734,"School"),"")</f>
        <v/>
      </c>
    </row>
    <row r="735" spans="1:8">
      <c r="A735" s="13"/>
      <c r="B735" s="1" t="s">
        <v>1438</v>
      </c>
      <c r="C735" s="1" t="s">
        <v>24</v>
      </c>
      <c r="D735" s="1" t="s">
        <v>1482</v>
      </c>
      <c r="E735" s="1" t="s">
        <v>1483</v>
      </c>
      <c r="F735" s="2">
        <v>480</v>
      </c>
      <c r="G735" s="3">
        <v>46.3</v>
      </c>
      <c r="H735" s="4" t="str">
        <f>IF(AND(A735="Yes",C735="School"),COUNTIFS($A$6:A735,"Yes",$C$6:C735,"School"),"")</f>
        <v/>
      </c>
    </row>
    <row r="736" spans="1:8">
      <c r="A736" s="13"/>
      <c r="B736" s="1" t="s">
        <v>1438</v>
      </c>
      <c r="C736" s="1" t="s">
        <v>24</v>
      </c>
      <c r="D736" s="1" t="s">
        <v>1484</v>
      </c>
      <c r="E736" s="1" t="s">
        <v>1485</v>
      </c>
      <c r="F736" s="2">
        <v>468</v>
      </c>
      <c r="G736" s="3">
        <v>66.900000000000006</v>
      </c>
      <c r="H736" s="4" t="str">
        <f>IF(AND(A736="Yes",C736="School"),COUNTIFS($A$6:A736,"Yes",$C$6:C736,"School"),"")</f>
        <v/>
      </c>
    </row>
    <row r="737" spans="1:8">
      <c r="A737" s="13"/>
      <c r="B737" s="1" t="s">
        <v>1438</v>
      </c>
      <c r="C737" s="1" t="s">
        <v>24</v>
      </c>
      <c r="D737" s="1" t="s">
        <v>1486</v>
      </c>
      <c r="E737" s="1" t="s">
        <v>1487</v>
      </c>
      <c r="F737" s="2">
        <v>330</v>
      </c>
      <c r="G737" s="3">
        <v>54.2</v>
      </c>
      <c r="H737" s="4" t="str">
        <f>IF(AND(A737="Yes",C737="School"),COUNTIFS($A$6:A737,"Yes",$C$6:C737,"School"),"")</f>
        <v/>
      </c>
    </row>
    <row r="738" spans="1:8">
      <c r="A738" s="13"/>
      <c r="B738" s="1" t="s">
        <v>1438</v>
      </c>
      <c r="C738" s="1" t="s">
        <v>24</v>
      </c>
      <c r="D738" s="1" t="s">
        <v>1488</v>
      </c>
      <c r="E738" s="1" t="s">
        <v>1489</v>
      </c>
      <c r="F738" s="2">
        <v>768</v>
      </c>
      <c r="G738" s="3">
        <v>55.7</v>
      </c>
      <c r="H738" s="4" t="str">
        <f>IF(AND(A738="Yes",C738="School"),COUNTIFS($A$6:A738,"Yes",$C$6:C738,"School"),"")</f>
        <v/>
      </c>
    </row>
    <row r="739" spans="1:8">
      <c r="A739" s="13"/>
      <c r="B739" s="1" t="s">
        <v>1438</v>
      </c>
      <c r="C739" s="1" t="s">
        <v>24</v>
      </c>
      <c r="D739" s="1" t="s">
        <v>1490</v>
      </c>
      <c r="E739" s="1" t="s">
        <v>1491</v>
      </c>
      <c r="F739" s="2">
        <v>579</v>
      </c>
      <c r="G739" s="3">
        <v>65.599999999999994</v>
      </c>
      <c r="H739" s="4" t="str">
        <f>IF(AND(A739="Yes",C739="School"),COUNTIFS($A$6:A739,"Yes",$C$6:C739,"School"),"")</f>
        <v/>
      </c>
    </row>
    <row r="740" spans="1:8">
      <c r="A740" s="13"/>
      <c r="B740" s="1" t="s">
        <v>1492</v>
      </c>
      <c r="C740" s="1" t="s">
        <v>24</v>
      </c>
      <c r="D740" s="1" t="s">
        <v>1492</v>
      </c>
      <c r="E740" s="1" t="s">
        <v>1493</v>
      </c>
      <c r="F740" s="2">
        <v>397</v>
      </c>
      <c r="G740" s="3">
        <v>49.4</v>
      </c>
      <c r="H740" s="4" t="str">
        <f>IF(AND(A740="Yes",C740="School"),COUNTIFS($A$6:A740,"Yes",$C$6:C740,"School"),"")</f>
        <v/>
      </c>
    </row>
    <row r="741" spans="1:8">
      <c r="A741" s="13"/>
      <c r="B741" s="1" t="s">
        <v>1494</v>
      </c>
      <c r="C741" s="1" t="s">
        <v>40</v>
      </c>
      <c r="D741" s="1" t="s">
        <v>41</v>
      </c>
      <c r="E741" s="1" t="s">
        <v>1495</v>
      </c>
      <c r="F741" s="2">
        <v>47838</v>
      </c>
      <c r="G741" s="3">
        <v>57.6</v>
      </c>
      <c r="H741" s="4" t="str">
        <f>IF(AND(A741="Yes",C741="School"),COUNTIFS($A$6:A741,"Yes",$C$6:C741,"School"),"")</f>
        <v/>
      </c>
    </row>
    <row r="742" spans="1:8">
      <c r="A742" s="13"/>
      <c r="B742" s="1" t="s">
        <v>1494</v>
      </c>
      <c r="C742" s="1" t="s">
        <v>24</v>
      </c>
      <c r="D742" s="1" t="s">
        <v>1496</v>
      </c>
      <c r="E742" s="1" t="s">
        <v>1497</v>
      </c>
      <c r="F742" s="2">
        <v>646</v>
      </c>
      <c r="G742" s="3">
        <v>50.5</v>
      </c>
      <c r="H742" s="4" t="str">
        <f>IF(AND(A742="Yes",C742="School"),COUNTIFS($A$6:A742,"Yes",$C$6:C742,"School"),"")</f>
        <v/>
      </c>
    </row>
    <row r="743" spans="1:8">
      <c r="A743" s="13"/>
      <c r="B743" s="1" t="s">
        <v>1494</v>
      </c>
      <c r="C743" s="1" t="s">
        <v>24</v>
      </c>
      <c r="D743" s="1" t="s">
        <v>1498</v>
      </c>
      <c r="E743" s="1" t="s">
        <v>1499</v>
      </c>
      <c r="F743" s="2">
        <v>166</v>
      </c>
      <c r="G743" s="3">
        <v>79.5</v>
      </c>
      <c r="H743" s="4" t="str">
        <f>IF(AND(A743="Yes",C743="School"),COUNTIFS($A$6:A743,"Yes",$C$6:C743,"School"),"")</f>
        <v/>
      </c>
    </row>
    <row r="744" spans="1:8">
      <c r="A744" s="13"/>
      <c r="B744" s="1" t="s">
        <v>1494</v>
      </c>
      <c r="C744" s="1" t="s">
        <v>24</v>
      </c>
      <c r="D744" s="1" t="s">
        <v>1500</v>
      </c>
      <c r="E744" s="1" t="s">
        <v>1501</v>
      </c>
      <c r="F744" s="2">
        <v>296</v>
      </c>
      <c r="G744" s="3">
        <v>38.200000000000003</v>
      </c>
      <c r="H744" s="4" t="str">
        <f>IF(AND(A744="Yes",C744="School"),COUNTIFS($A$6:A744,"Yes",$C$6:C744,"School"),"")</f>
        <v/>
      </c>
    </row>
    <row r="745" spans="1:8">
      <c r="A745" s="13"/>
      <c r="B745" s="1" t="s">
        <v>1494</v>
      </c>
      <c r="C745" s="1" t="s">
        <v>24</v>
      </c>
      <c r="D745" s="1" t="s">
        <v>1502</v>
      </c>
      <c r="E745" s="1" t="s">
        <v>1503</v>
      </c>
      <c r="F745" s="2">
        <v>500</v>
      </c>
      <c r="G745" s="3">
        <v>57</v>
      </c>
      <c r="H745" s="4" t="str">
        <f>IF(AND(A745="Yes",C745="School"),COUNTIFS($A$6:A745,"Yes",$C$6:C745,"School"),"")</f>
        <v/>
      </c>
    </row>
    <row r="746" spans="1:8">
      <c r="A746" s="13"/>
      <c r="B746" s="1" t="s">
        <v>1494</v>
      </c>
      <c r="C746" s="1" t="s">
        <v>24</v>
      </c>
      <c r="D746" s="1" t="s">
        <v>1504</v>
      </c>
      <c r="E746" s="1" t="s">
        <v>1505</v>
      </c>
      <c r="F746" s="2">
        <v>457</v>
      </c>
      <c r="G746" s="3">
        <v>55.6</v>
      </c>
      <c r="H746" s="4" t="str">
        <f>IF(AND(A746="Yes",C746="School"),COUNTIFS($A$6:A746,"Yes",$C$6:C746,"School"),"")</f>
        <v/>
      </c>
    </row>
    <row r="747" spans="1:8">
      <c r="A747" s="13"/>
      <c r="B747" s="1" t="s">
        <v>1494</v>
      </c>
      <c r="C747" s="1" t="s">
        <v>24</v>
      </c>
      <c r="D747" s="1" t="s">
        <v>1506</v>
      </c>
      <c r="E747" s="1" t="s">
        <v>1507</v>
      </c>
      <c r="F747" s="2">
        <v>151</v>
      </c>
      <c r="G747" s="3">
        <v>61.6</v>
      </c>
      <c r="H747" s="4" t="str">
        <f>IF(AND(A747="Yes",C747="School"),COUNTIFS($A$6:A747,"Yes",$C$6:C747,"School"),"")</f>
        <v/>
      </c>
    </row>
    <row r="748" spans="1:8">
      <c r="A748" s="13"/>
      <c r="B748" s="1" t="s">
        <v>1494</v>
      </c>
      <c r="C748" s="1" t="s">
        <v>24</v>
      </c>
      <c r="D748" s="1" t="s">
        <v>1508</v>
      </c>
      <c r="E748" s="1" t="s">
        <v>1509</v>
      </c>
      <c r="F748" s="2">
        <v>87</v>
      </c>
      <c r="G748" s="3">
        <v>57.5</v>
      </c>
      <c r="H748" s="4" t="str">
        <f>IF(AND(A748="Yes",C748="School"),COUNTIFS($A$6:A748,"Yes",$C$6:C748,"School"),"")</f>
        <v/>
      </c>
    </row>
    <row r="749" spans="1:8">
      <c r="A749" s="13"/>
      <c r="B749" s="1" t="s">
        <v>1494</v>
      </c>
      <c r="C749" s="1" t="s">
        <v>24</v>
      </c>
      <c r="D749" s="1" t="s">
        <v>1510</v>
      </c>
      <c r="E749" s="1" t="s">
        <v>1511</v>
      </c>
      <c r="F749" s="2">
        <v>463</v>
      </c>
      <c r="G749" s="3">
        <v>68.900000000000006</v>
      </c>
      <c r="H749" s="4" t="str">
        <f>IF(AND(A749="Yes",C749="School"),COUNTIFS($A$6:A749,"Yes",$C$6:C749,"School"),"")</f>
        <v/>
      </c>
    </row>
    <row r="750" spans="1:8">
      <c r="A750" s="13"/>
      <c r="B750" s="1" t="s">
        <v>1494</v>
      </c>
      <c r="C750" s="1" t="s">
        <v>24</v>
      </c>
      <c r="D750" s="1" t="s">
        <v>1512</v>
      </c>
      <c r="E750" s="1" t="s">
        <v>1513</v>
      </c>
      <c r="F750" s="2">
        <v>692</v>
      </c>
      <c r="G750" s="3">
        <v>63</v>
      </c>
      <c r="H750" s="4" t="str">
        <f>IF(AND(A750="Yes",C750="School"),COUNTIFS($A$6:A750,"Yes",$C$6:C750,"School"),"")</f>
        <v/>
      </c>
    </row>
    <row r="751" spans="1:8">
      <c r="A751" s="13"/>
      <c r="B751" s="1" t="s">
        <v>1494</v>
      </c>
      <c r="C751" s="1" t="s">
        <v>24</v>
      </c>
      <c r="D751" s="1" t="s">
        <v>1514</v>
      </c>
      <c r="E751" s="1" t="s">
        <v>1515</v>
      </c>
      <c r="F751" s="2">
        <v>477</v>
      </c>
      <c r="G751" s="3">
        <v>75.5</v>
      </c>
      <c r="H751" s="4" t="str">
        <f>IF(AND(A751="Yes",C751="School"),COUNTIFS($A$6:A751,"Yes",$C$6:C751,"School"),"")</f>
        <v/>
      </c>
    </row>
    <row r="752" spans="1:8">
      <c r="A752" s="13"/>
      <c r="B752" s="1" t="s">
        <v>1494</v>
      </c>
      <c r="C752" s="1" t="s">
        <v>24</v>
      </c>
      <c r="D752" s="1" t="s">
        <v>1516</v>
      </c>
      <c r="E752" s="1" t="s">
        <v>1517</v>
      </c>
      <c r="F752" s="2">
        <v>579</v>
      </c>
      <c r="G752" s="3">
        <v>64.400000000000006</v>
      </c>
      <c r="H752" s="4" t="str">
        <f>IF(AND(A752="Yes",C752="School"),COUNTIFS($A$6:A752,"Yes",$C$6:C752,"School"),"")</f>
        <v/>
      </c>
    </row>
    <row r="753" spans="1:8">
      <c r="A753" s="13"/>
      <c r="B753" s="1" t="s">
        <v>1494</v>
      </c>
      <c r="C753" s="1" t="s">
        <v>24</v>
      </c>
      <c r="D753" s="1" t="s">
        <v>1518</v>
      </c>
      <c r="E753" s="1" t="s">
        <v>1519</v>
      </c>
      <c r="F753" s="2">
        <v>1423</v>
      </c>
      <c r="G753" s="3">
        <v>53.8</v>
      </c>
      <c r="H753" s="4" t="str">
        <f>IF(AND(A753="Yes",C753="School"),COUNTIFS($A$6:A753,"Yes",$C$6:C753,"School"),"")</f>
        <v/>
      </c>
    </row>
    <row r="754" spans="1:8">
      <c r="A754" s="13"/>
      <c r="B754" s="1" t="s">
        <v>1494</v>
      </c>
      <c r="C754" s="1" t="s">
        <v>24</v>
      </c>
      <c r="D754" s="1" t="s">
        <v>1520</v>
      </c>
      <c r="E754" s="1" t="s">
        <v>1521</v>
      </c>
      <c r="F754" s="2">
        <v>642</v>
      </c>
      <c r="G754" s="3">
        <v>67.8</v>
      </c>
      <c r="H754" s="4" t="str">
        <f>IF(AND(A754="Yes",C754="School"),COUNTIFS($A$6:A754,"Yes",$C$6:C754,"School"),"")</f>
        <v/>
      </c>
    </row>
    <row r="755" spans="1:8">
      <c r="A755" s="13"/>
      <c r="B755" s="1" t="s">
        <v>1494</v>
      </c>
      <c r="C755" s="1" t="s">
        <v>24</v>
      </c>
      <c r="D755" s="1" t="s">
        <v>1522</v>
      </c>
      <c r="E755" s="1" t="s">
        <v>1523</v>
      </c>
      <c r="F755" s="2">
        <v>416</v>
      </c>
      <c r="G755" s="3">
        <v>71.2</v>
      </c>
      <c r="H755" s="4" t="str">
        <f>IF(AND(A755="Yes",C755="School"),COUNTIFS($A$6:A755,"Yes",$C$6:C755,"School"),"")</f>
        <v/>
      </c>
    </row>
    <row r="756" spans="1:8">
      <c r="A756" s="13"/>
      <c r="B756" s="1" t="s">
        <v>1494</v>
      </c>
      <c r="C756" s="1" t="s">
        <v>24</v>
      </c>
      <c r="D756" s="1" t="s">
        <v>1524</v>
      </c>
      <c r="E756" s="1" t="s">
        <v>1525</v>
      </c>
      <c r="F756" s="2">
        <v>232</v>
      </c>
      <c r="G756" s="3">
        <v>41.8</v>
      </c>
      <c r="H756" s="4" t="str">
        <f>IF(AND(A756="Yes",C756="School"),COUNTIFS($A$6:A756,"Yes",$C$6:C756,"School"),"")</f>
        <v/>
      </c>
    </row>
    <row r="757" spans="1:8">
      <c r="A757" s="13"/>
      <c r="B757" s="1" t="s">
        <v>1494</v>
      </c>
      <c r="C757" s="1" t="s">
        <v>24</v>
      </c>
      <c r="D757" s="1" t="s">
        <v>1526</v>
      </c>
      <c r="E757" s="1" t="s">
        <v>1527</v>
      </c>
      <c r="F757" s="2">
        <v>239</v>
      </c>
      <c r="G757" s="3">
        <v>53.1</v>
      </c>
      <c r="H757" s="4" t="str">
        <f>IF(AND(A757="Yes",C757="School"),COUNTIFS($A$6:A757,"Yes",$C$6:C757,"School"),"")</f>
        <v/>
      </c>
    </row>
    <row r="758" spans="1:8">
      <c r="A758" s="13"/>
      <c r="B758" s="1" t="s">
        <v>1494</v>
      </c>
      <c r="C758" s="1" t="s">
        <v>24</v>
      </c>
      <c r="D758" s="1" t="s">
        <v>1528</v>
      </c>
      <c r="E758" s="1" t="s">
        <v>1529</v>
      </c>
      <c r="F758" s="2">
        <v>590</v>
      </c>
      <c r="G758" s="3">
        <v>67.5</v>
      </c>
      <c r="H758" s="4" t="str">
        <f>IF(AND(A758="Yes",C758="School"),COUNTIFS($A$6:A758,"Yes",$C$6:C758,"School"),"")</f>
        <v/>
      </c>
    </row>
    <row r="759" spans="1:8">
      <c r="A759" s="13"/>
      <c r="B759" s="1" t="s">
        <v>1494</v>
      </c>
      <c r="C759" s="1" t="s">
        <v>24</v>
      </c>
      <c r="D759" s="1" t="s">
        <v>1530</v>
      </c>
      <c r="E759" s="1" t="s">
        <v>1531</v>
      </c>
      <c r="F759" s="2">
        <v>338</v>
      </c>
      <c r="G759" s="3">
        <v>44.7</v>
      </c>
      <c r="H759" s="4" t="str">
        <f>IF(AND(A759="Yes",C759="School"),COUNTIFS($A$6:A759,"Yes",$C$6:C759,"School"),"")</f>
        <v/>
      </c>
    </row>
    <row r="760" spans="1:8">
      <c r="A760" s="13"/>
      <c r="B760" s="1" t="s">
        <v>1494</v>
      </c>
      <c r="C760" s="1" t="s">
        <v>24</v>
      </c>
      <c r="D760" s="1" t="s">
        <v>1532</v>
      </c>
      <c r="E760" s="1" t="s">
        <v>1533</v>
      </c>
      <c r="F760" s="2">
        <v>300</v>
      </c>
      <c r="G760" s="3">
        <v>69.7</v>
      </c>
      <c r="H760" s="4" t="str">
        <f>IF(AND(A760="Yes",C760="School"),COUNTIFS($A$6:A760,"Yes",$C$6:C760,"School"),"")</f>
        <v/>
      </c>
    </row>
    <row r="761" spans="1:8">
      <c r="A761" s="13"/>
      <c r="B761" s="1" t="s">
        <v>1494</v>
      </c>
      <c r="C761" s="1" t="s">
        <v>24</v>
      </c>
      <c r="D761" s="1" t="s">
        <v>1534</v>
      </c>
      <c r="E761" s="1" t="s">
        <v>1535</v>
      </c>
      <c r="F761" s="2">
        <v>332</v>
      </c>
      <c r="G761" s="3">
        <v>63.9</v>
      </c>
      <c r="H761" s="4" t="str">
        <f>IF(AND(A761="Yes",C761="School"),COUNTIFS($A$6:A761,"Yes",$C$6:C761,"School"),"")</f>
        <v/>
      </c>
    </row>
    <row r="762" spans="1:8">
      <c r="A762" s="13"/>
      <c r="B762" s="1" t="s">
        <v>1494</v>
      </c>
      <c r="C762" s="1" t="s">
        <v>24</v>
      </c>
      <c r="D762" s="1" t="s">
        <v>1536</v>
      </c>
      <c r="E762" s="1" t="s">
        <v>1537</v>
      </c>
      <c r="F762" s="2">
        <v>112</v>
      </c>
      <c r="G762" s="3">
        <v>78.599999999999994</v>
      </c>
      <c r="H762" s="4" t="str">
        <f>IF(AND(A762="Yes",C762="School"),COUNTIFS($A$6:A762,"Yes",$C$6:C762,"School"),"")</f>
        <v/>
      </c>
    </row>
    <row r="763" spans="1:8">
      <c r="A763" s="13"/>
      <c r="B763" s="1" t="s">
        <v>1494</v>
      </c>
      <c r="C763" s="1" t="s">
        <v>24</v>
      </c>
      <c r="D763" s="1" t="s">
        <v>1538</v>
      </c>
      <c r="E763" s="1" t="s">
        <v>1539</v>
      </c>
      <c r="F763" s="2">
        <v>194</v>
      </c>
      <c r="G763" s="3">
        <v>43.8</v>
      </c>
      <c r="H763" s="4" t="str">
        <f>IF(AND(A763="Yes",C763="School"),COUNTIFS($A$6:A763,"Yes",$C$6:C763,"School"),"")</f>
        <v/>
      </c>
    </row>
    <row r="764" spans="1:8">
      <c r="A764" s="13"/>
      <c r="B764" s="1" t="s">
        <v>1494</v>
      </c>
      <c r="C764" s="1" t="s">
        <v>24</v>
      </c>
      <c r="D764" s="1" t="s">
        <v>1540</v>
      </c>
      <c r="E764" s="1" t="s">
        <v>1541</v>
      </c>
      <c r="F764" s="2">
        <v>912</v>
      </c>
      <c r="G764" s="3">
        <v>70</v>
      </c>
      <c r="H764" s="4" t="str">
        <f>IF(AND(A764="Yes",C764="School"),COUNTIFS($A$6:A764,"Yes",$C$6:C764,"School"),"")</f>
        <v/>
      </c>
    </row>
    <row r="765" spans="1:8">
      <c r="A765" s="13"/>
      <c r="B765" s="1" t="s">
        <v>1494</v>
      </c>
      <c r="C765" s="1" t="s">
        <v>24</v>
      </c>
      <c r="D765" s="1" t="s">
        <v>1542</v>
      </c>
      <c r="E765" s="1" t="s">
        <v>1543</v>
      </c>
      <c r="F765" s="2">
        <v>785</v>
      </c>
      <c r="G765" s="3">
        <v>73.900000000000006</v>
      </c>
      <c r="H765" s="4" t="str">
        <f>IF(AND(A765="Yes",C765="School"),COUNTIFS($A$6:A765,"Yes",$C$6:C765,"School"),"")</f>
        <v/>
      </c>
    </row>
    <row r="766" spans="1:8">
      <c r="A766" s="13"/>
      <c r="B766" s="1" t="s">
        <v>1494</v>
      </c>
      <c r="C766" s="1" t="s">
        <v>24</v>
      </c>
      <c r="D766" s="1" t="s">
        <v>1544</v>
      </c>
      <c r="E766" s="1" t="s">
        <v>1545</v>
      </c>
      <c r="F766" s="2">
        <v>640</v>
      </c>
      <c r="G766" s="3">
        <v>48.1</v>
      </c>
      <c r="H766" s="4" t="str">
        <f>IF(AND(A766="Yes",C766="School"),COUNTIFS($A$6:A766,"Yes",$C$6:C766,"School"),"")</f>
        <v/>
      </c>
    </row>
    <row r="767" spans="1:8">
      <c r="A767" s="13"/>
      <c r="B767" s="1" t="s">
        <v>1494</v>
      </c>
      <c r="C767" s="1" t="s">
        <v>24</v>
      </c>
      <c r="D767" s="1" t="s">
        <v>1546</v>
      </c>
      <c r="E767" s="1" t="s">
        <v>1547</v>
      </c>
      <c r="F767" s="2">
        <v>937</v>
      </c>
      <c r="G767" s="3">
        <v>60.9</v>
      </c>
      <c r="H767" s="4" t="str">
        <f>IF(AND(A767="Yes",C767="School"),COUNTIFS($A$6:A767,"Yes",$C$6:C767,"School"),"")</f>
        <v/>
      </c>
    </row>
    <row r="768" spans="1:8">
      <c r="A768" s="13"/>
      <c r="B768" s="1" t="s">
        <v>1494</v>
      </c>
      <c r="C768" s="1" t="s">
        <v>24</v>
      </c>
      <c r="D768" s="1" t="s">
        <v>1548</v>
      </c>
      <c r="E768" s="1" t="s">
        <v>1549</v>
      </c>
      <c r="F768" s="2">
        <v>807</v>
      </c>
      <c r="G768" s="3">
        <v>39.700000000000003</v>
      </c>
      <c r="H768" s="4" t="str">
        <f>IF(AND(A768="Yes",C768="School"),COUNTIFS($A$6:A768,"Yes",$C$6:C768,"School"),"")</f>
        <v/>
      </c>
    </row>
    <row r="769" spans="1:8">
      <c r="A769" s="13"/>
      <c r="B769" s="1" t="s">
        <v>1494</v>
      </c>
      <c r="C769" s="1" t="s">
        <v>24</v>
      </c>
      <c r="D769" s="1" t="s">
        <v>1550</v>
      </c>
      <c r="E769" s="1" t="s">
        <v>1551</v>
      </c>
      <c r="F769" s="2">
        <v>400</v>
      </c>
      <c r="G769" s="3">
        <v>31</v>
      </c>
      <c r="H769" s="4" t="str">
        <f>IF(AND(A769="Yes",C769="School"),COUNTIFS($A$6:A769,"Yes",$C$6:C769,"School"),"")</f>
        <v/>
      </c>
    </row>
    <row r="770" spans="1:8">
      <c r="A770" s="13"/>
      <c r="B770" s="1" t="s">
        <v>1494</v>
      </c>
      <c r="C770" s="1" t="s">
        <v>24</v>
      </c>
      <c r="D770" s="1" t="s">
        <v>1552</v>
      </c>
      <c r="E770" s="1" t="s">
        <v>1553</v>
      </c>
      <c r="F770" s="2">
        <v>584</v>
      </c>
      <c r="G770" s="3">
        <v>65.099999999999994</v>
      </c>
      <c r="H770" s="4" t="str">
        <f>IF(AND(A770="Yes",C770="School"),COUNTIFS($A$6:A770,"Yes",$C$6:C770,"School"),"")</f>
        <v/>
      </c>
    </row>
    <row r="771" spans="1:8">
      <c r="A771" s="13"/>
      <c r="B771" s="1" t="s">
        <v>1494</v>
      </c>
      <c r="C771" s="1" t="s">
        <v>24</v>
      </c>
      <c r="D771" s="1" t="s">
        <v>1554</v>
      </c>
      <c r="E771" s="1" t="s">
        <v>1555</v>
      </c>
      <c r="F771" s="2">
        <v>575</v>
      </c>
      <c r="G771" s="3">
        <v>75.5</v>
      </c>
      <c r="H771" s="4" t="str">
        <f>IF(AND(A771="Yes",C771="School"),COUNTIFS($A$6:A771,"Yes",$C$6:C771,"School"),"")</f>
        <v/>
      </c>
    </row>
    <row r="772" spans="1:8">
      <c r="A772" s="13"/>
      <c r="B772" s="1" t="s">
        <v>1494</v>
      </c>
      <c r="C772" s="1" t="s">
        <v>24</v>
      </c>
      <c r="D772" s="1" t="s">
        <v>1556</v>
      </c>
      <c r="E772" s="1" t="s">
        <v>1557</v>
      </c>
      <c r="F772" s="2">
        <v>376</v>
      </c>
      <c r="G772" s="3">
        <v>83</v>
      </c>
      <c r="H772" s="4" t="str">
        <f>IF(AND(A772="Yes",C772="School"),COUNTIFS($A$6:A772,"Yes",$C$6:C772,"School"),"")</f>
        <v/>
      </c>
    </row>
    <row r="773" spans="1:8">
      <c r="A773" s="13"/>
      <c r="B773" s="1" t="s">
        <v>1494</v>
      </c>
      <c r="C773" s="1" t="s">
        <v>24</v>
      </c>
      <c r="D773" s="1" t="s">
        <v>1558</v>
      </c>
      <c r="E773" s="1" t="s">
        <v>1559</v>
      </c>
      <c r="F773" s="2">
        <v>857</v>
      </c>
      <c r="G773" s="3">
        <v>43.1</v>
      </c>
      <c r="H773" s="4" t="str">
        <f>IF(AND(A773="Yes",C773="School"),COUNTIFS($A$6:A773,"Yes",$C$6:C773,"School"),"")</f>
        <v/>
      </c>
    </row>
    <row r="774" spans="1:8">
      <c r="A774" s="13"/>
      <c r="B774" s="1" t="s">
        <v>1494</v>
      </c>
      <c r="C774" s="1" t="s">
        <v>24</v>
      </c>
      <c r="D774" s="1" t="s">
        <v>1560</v>
      </c>
      <c r="E774" s="1" t="s">
        <v>1561</v>
      </c>
      <c r="F774" s="2">
        <v>239</v>
      </c>
      <c r="G774" s="3">
        <v>61.9</v>
      </c>
      <c r="H774" s="4" t="str">
        <f>IF(AND(A774="Yes",C774="School"),COUNTIFS($A$6:A774,"Yes",$C$6:C774,"School"),"")</f>
        <v/>
      </c>
    </row>
    <row r="775" spans="1:8">
      <c r="A775" s="13"/>
      <c r="B775" s="1" t="s">
        <v>1494</v>
      </c>
      <c r="C775" s="1" t="s">
        <v>24</v>
      </c>
      <c r="D775" s="1" t="s">
        <v>1562</v>
      </c>
      <c r="E775" s="1" t="s">
        <v>1563</v>
      </c>
      <c r="F775" s="2">
        <v>427</v>
      </c>
      <c r="G775" s="3">
        <v>35.4</v>
      </c>
      <c r="H775" s="4" t="str">
        <f>IF(AND(A775="Yes",C775="School"),COUNTIFS($A$6:A775,"Yes",$C$6:C775,"School"),"")</f>
        <v/>
      </c>
    </row>
    <row r="776" spans="1:8">
      <c r="A776" s="13"/>
      <c r="B776" s="1" t="s">
        <v>1494</v>
      </c>
      <c r="C776" s="1" t="s">
        <v>24</v>
      </c>
      <c r="D776" s="1" t="s">
        <v>1564</v>
      </c>
      <c r="E776" s="1" t="s">
        <v>1565</v>
      </c>
      <c r="F776" s="2">
        <v>1387</v>
      </c>
      <c r="G776" s="3">
        <v>47.1</v>
      </c>
      <c r="H776" s="4" t="str">
        <f>IF(AND(A776="Yes",C776="School"),COUNTIFS($A$6:A776,"Yes",$C$6:C776,"School"),"")</f>
        <v/>
      </c>
    </row>
    <row r="777" spans="1:8">
      <c r="A777" s="13"/>
      <c r="B777" s="1" t="s">
        <v>1494</v>
      </c>
      <c r="C777" s="1" t="s">
        <v>24</v>
      </c>
      <c r="D777" s="1" t="s">
        <v>1566</v>
      </c>
      <c r="E777" s="1" t="s">
        <v>1567</v>
      </c>
      <c r="F777" s="2">
        <v>1024</v>
      </c>
      <c r="G777" s="3">
        <v>38.799999999999997</v>
      </c>
      <c r="H777" s="4" t="str">
        <f>IF(AND(A777="Yes",C777="School"),COUNTIFS($A$6:A777,"Yes",$C$6:C777,"School"),"")</f>
        <v/>
      </c>
    </row>
    <row r="778" spans="1:8">
      <c r="A778" s="13"/>
      <c r="B778" s="1" t="s">
        <v>1494</v>
      </c>
      <c r="C778" s="1" t="s">
        <v>24</v>
      </c>
      <c r="D778" s="1" t="s">
        <v>1568</v>
      </c>
      <c r="E778" s="1" t="s">
        <v>1569</v>
      </c>
      <c r="F778" s="2">
        <v>454</v>
      </c>
      <c r="G778" s="3">
        <v>55.5</v>
      </c>
      <c r="H778" s="4" t="str">
        <f>IF(AND(A778="Yes",C778="School"),COUNTIFS($A$6:A778,"Yes",$C$6:C778,"School"),"")</f>
        <v/>
      </c>
    </row>
    <row r="779" spans="1:8">
      <c r="A779" s="13"/>
      <c r="B779" s="1" t="s">
        <v>1494</v>
      </c>
      <c r="C779" s="1" t="s">
        <v>24</v>
      </c>
      <c r="D779" s="1" t="s">
        <v>1570</v>
      </c>
      <c r="E779" s="1" t="s">
        <v>1571</v>
      </c>
      <c r="F779" s="2">
        <v>565</v>
      </c>
      <c r="G779" s="3">
        <v>47.1</v>
      </c>
      <c r="H779" s="4" t="str">
        <f>IF(AND(A779="Yes",C779="School"),COUNTIFS($A$6:A779,"Yes",$C$6:C779,"School"),"")</f>
        <v/>
      </c>
    </row>
    <row r="780" spans="1:8">
      <c r="A780" s="13"/>
      <c r="B780" s="1" t="s">
        <v>1494</v>
      </c>
      <c r="C780" s="1" t="s">
        <v>24</v>
      </c>
      <c r="D780" s="1" t="s">
        <v>1572</v>
      </c>
      <c r="E780" s="1" t="s">
        <v>1573</v>
      </c>
      <c r="F780" s="2">
        <v>186</v>
      </c>
      <c r="G780" s="3">
        <v>87.6</v>
      </c>
      <c r="H780" s="4" t="str">
        <f>IF(AND(A780="Yes",C780="School"),COUNTIFS($A$6:A780,"Yes",$C$6:C780,"School"),"")</f>
        <v/>
      </c>
    </row>
    <row r="781" spans="1:8">
      <c r="A781" s="13"/>
      <c r="B781" s="1" t="s">
        <v>1494</v>
      </c>
      <c r="C781" s="1" t="s">
        <v>24</v>
      </c>
      <c r="D781" s="1" t="s">
        <v>1574</v>
      </c>
      <c r="E781" s="1" t="s">
        <v>1575</v>
      </c>
      <c r="F781" s="2">
        <v>190</v>
      </c>
      <c r="G781" s="3">
        <v>80.5</v>
      </c>
      <c r="H781" s="4" t="str">
        <f>IF(AND(A781="Yes",C781="School"),COUNTIFS($A$6:A781,"Yes",$C$6:C781,"School"),"")</f>
        <v/>
      </c>
    </row>
    <row r="782" spans="1:8">
      <c r="A782" s="13"/>
      <c r="B782" s="1" t="s">
        <v>1494</v>
      </c>
      <c r="C782" s="1" t="s">
        <v>24</v>
      </c>
      <c r="D782" s="1" t="s">
        <v>1576</v>
      </c>
      <c r="E782" s="1" t="s">
        <v>1577</v>
      </c>
      <c r="F782" s="2">
        <v>275</v>
      </c>
      <c r="G782" s="3">
        <v>64.7</v>
      </c>
      <c r="H782" s="4" t="str">
        <f>IF(AND(A782="Yes",C782="School"),COUNTIFS($A$6:A782,"Yes",$C$6:C782,"School"),"")</f>
        <v/>
      </c>
    </row>
    <row r="783" spans="1:8">
      <c r="A783" s="13"/>
      <c r="B783" s="1" t="s">
        <v>1494</v>
      </c>
      <c r="C783" s="1" t="s">
        <v>24</v>
      </c>
      <c r="D783" s="1" t="s">
        <v>1578</v>
      </c>
      <c r="E783" s="1" t="s">
        <v>1579</v>
      </c>
      <c r="F783" s="2">
        <v>1873</v>
      </c>
      <c r="G783" s="3">
        <v>43.4</v>
      </c>
      <c r="H783" s="4" t="str">
        <f>IF(AND(A783="Yes",C783="School"),COUNTIFS($A$6:A783,"Yes",$C$6:C783,"School"),"")</f>
        <v/>
      </c>
    </row>
    <row r="784" spans="1:8">
      <c r="A784" s="13"/>
      <c r="B784" s="1" t="s">
        <v>1494</v>
      </c>
      <c r="C784" s="1" t="s">
        <v>24</v>
      </c>
      <c r="D784" s="1" t="s">
        <v>1580</v>
      </c>
      <c r="E784" s="1" t="s">
        <v>1581</v>
      </c>
      <c r="F784" s="2">
        <v>1031</v>
      </c>
      <c r="G784" s="3">
        <v>31.2</v>
      </c>
      <c r="H784" s="4" t="str">
        <f>IF(AND(A784="Yes",C784="School"),COUNTIFS($A$6:A784,"Yes",$C$6:C784,"School"),"")</f>
        <v/>
      </c>
    </row>
    <row r="785" spans="1:8">
      <c r="A785" s="13"/>
      <c r="B785" s="1" t="s">
        <v>1494</v>
      </c>
      <c r="C785" s="1" t="s">
        <v>24</v>
      </c>
      <c r="D785" s="1" t="s">
        <v>1582</v>
      </c>
      <c r="E785" s="1" t="s">
        <v>1583</v>
      </c>
      <c r="F785" s="2">
        <v>620</v>
      </c>
      <c r="G785" s="3">
        <v>52.7</v>
      </c>
      <c r="H785" s="4" t="str">
        <f>IF(AND(A785="Yes",C785="School"),COUNTIFS($A$6:A785,"Yes",$C$6:C785,"School"),"")</f>
        <v/>
      </c>
    </row>
    <row r="786" spans="1:8">
      <c r="A786" s="13"/>
      <c r="B786" s="1" t="s">
        <v>1494</v>
      </c>
      <c r="C786" s="1" t="s">
        <v>24</v>
      </c>
      <c r="D786" s="1" t="s">
        <v>1584</v>
      </c>
      <c r="E786" s="1" t="s">
        <v>1585</v>
      </c>
      <c r="F786" s="2">
        <v>568</v>
      </c>
      <c r="G786" s="3">
        <v>71.8</v>
      </c>
      <c r="H786" s="4" t="str">
        <f>IF(AND(A786="Yes",C786="School"),COUNTIFS($A$6:A786,"Yes",$C$6:C786,"School"),"")</f>
        <v/>
      </c>
    </row>
    <row r="787" spans="1:8">
      <c r="A787" s="13"/>
      <c r="B787" s="1" t="s">
        <v>1494</v>
      </c>
      <c r="C787" s="1" t="s">
        <v>24</v>
      </c>
      <c r="D787" s="1" t="s">
        <v>1586</v>
      </c>
      <c r="E787" s="1" t="s">
        <v>1587</v>
      </c>
      <c r="F787" s="2">
        <v>436</v>
      </c>
      <c r="G787" s="3">
        <v>39</v>
      </c>
      <c r="H787" s="4" t="str">
        <f>IF(AND(A787="Yes",C787="School"),COUNTIFS($A$6:A787,"Yes",$C$6:C787,"School"),"")</f>
        <v/>
      </c>
    </row>
    <row r="788" spans="1:8">
      <c r="A788" s="13"/>
      <c r="B788" s="1" t="s">
        <v>1494</v>
      </c>
      <c r="C788" s="1" t="s">
        <v>24</v>
      </c>
      <c r="D788" s="1" t="s">
        <v>1588</v>
      </c>
      <c r="E788" s="1" t="s">
        <v>1589</v>
      </c>
      <c r="F788" s="2">
        <v>463</v>
      </c>
      <c r="G788" s="3">
        <v>64.599999999999994</v>
      </c>
      <c r="H788" s="4" t="str">
        <f>IF(AND(A788="Yes",C788="School"),COUNTIFS($A$6:A788,"Yes",$C$6:C788,"School"),"")</f>
        <v/>
      </c>
    </row>
    <row r="789" spans="1:8">
      <c r="A789" s="13"/>
      <c r="B789" s="1" t="s">
        <v>1494</v>
      </c>
      <c r="C789" s="1" t="s">
        <v>24</v>
      </c>
      <c r="D789" s="1" t="s">
        <v>1590</v>
      </c>
      <c r="E789" s="1" t="s">
        <v>1591</v>
      </c>
      <c r="F789" s="2">
        <v>422</v>
      </c>
      <c r="G789" s="3">
        <v>82</v>
      </c>
      <c r="H789" s="4" t="str">
        <f>IF(AND(A789="Yes",C789="School"),COUNTIFS($A$6:A789,"Yes",$C$6:C789,"School"),"")</f>
        <v/>
      </c>
    </row>
    <row r="790" spans="1:8">
      <c r="A790" s="13"/>
      <c r="B790" s="1" t="s">
        <v>1494</v>
      </c>
      <c r="C790" s="1" t="s">
        <v>24</v>
      </c>
      <c r="D790" s="1" t="s">
        <v>1592</v>
      </c>
      <c r="E790" s="1" t="s">
        <v>1593</v>
      </c>
      <c r="F790" s="2">
        <v>570</v>
      </c>
      <c r="G790" s="3">
        <v>76.8</v>
      </c>
      <c r="H790" s="4" t="str">
        <f>IF(AND(A790="Yes",C790="School"),COUNTIFS($A$6:A790,"Yes",$C$6:C790,"School"),"")</f>
        <v/>
      </c>
    </row>
    <row r="791" spans="1:8">
      <c r="A791" s="13"/>
      <c r="B791" s="1" t="s">
        <v>1494</v>
      </c>
      <c r="C791" s="1" t="s">
        <v>24</v>
      </c>
      <c r="D791" s="1" t="s">
        <v>1594</v>
      </c>
      <c r="E791" s="1" t="s">
        <v>1595</v>
      </c>
      <c r="F791" s="2">
        <v>1083</v>
      </c>
      <c r="G791" s="3">
        <v>44.1</v>
      </c>
      <c r="H791" s="4" t="str">
        <f>IF(AND(A791="Yes",C791="School"),COUNTIFS($A$6:A791,"Yes",$C$6:C791,"School"),"")</f>
        <v/>
      </c>
    </row>
    <row r="792" spans="1:8">
      <c r="A792" s="13"/>
      <c r="B792" s="1" t="s">
        <v>1494</v>
      </c>
      <c r="C792" s="1" t="s">
        <v>24</v>
      </c>
      <c r="D792" s="1" t="s">
        <v>1596</v>
      </c>
      <c r="E792" s="1" t="s">
        <v>1597</v>
      </c>
      <c r="F792" s="2">
        <v>298</v>
      </c>
      <c r="G792" s="3">
        <v>69.099999999999994</v>
      </c>
      <c r="H792" s="4" t="str">
        <f>IF(AND(A792="Yes",C792="School"),COUNTIFS($A$6:A792,"Yes",$C$6:C792,"School"),"")</f>
        <v/>
      </c>
    </row>
    <row r="793" spans="1:8">
      <c r="A793" s="13"/>
      <c r="B793" s="1" t="s">
        <v>1494</v>
      </c>
      <c r="C793" s="1" t="s">
        <v>24</v>
      </c>
      <c r="D793" s="1" t="s">
        <v>1598</v>
      </c>
      <c r="E793" s="1" t="s">
        <v>1599</v>
      </c>
      <c r="F793" s="2">
        <v>298</v>
      </c>
      <c r="G793" s="3">
        <v>80.2</v>
      </c>
      <c r="H793" s="4" t="str">
        <f>IF(AND(A793="Yes",C793="School"),COUNTIFS($A$6:A793,"Yes",$C$6:C793,"School"),"")</f>
        <v/>
      </c>
    </row>
    <row r="794" spans="1:8">
      <c r="A794" s="13"/>
      <c r="B794" s="1" t="s">
        <v>1494</v>
      </c>
      <c r="C794" s="1" t="s">
        <v>24</v>
      </c>
      <c r="D794" s="1" t="s">
        <v>1600</v>
      </c>
      <c r="E794" s="1" t="s">
        <v>1601</v>
      </c>
      <c r="F794" s="2">
        <v>456</v>
      </c>
      <c r="G794" s="3">
        <v>70.8</v>
      </c>
      <c r="H794" s="4" t="str">
        <f>IF(AND(A794="Yes",C794="School"),COUNTIFS($A$6:A794,"Yes",$C$6:C794,"School"),"")</f>
        <v/>
      </c>
    </row>
    <row r="795" spans="1:8">
      <c r="A795" s="13"/>
      <c r="B795" s="1" t="s">
        <v>1494</v>
      </c>
      <c r="C795" s="1" t="s">
        <v>24</v>
      </c>
      <c r="D795" s="1" t="s">
        <v>1602</v>
      </c>
      <c r="E795" s="1" t="s">
        <v>1603</v>
      </c>
      <c r="F795" s="2">
        <v>250</v>
      </c>
      <c r="G795" s="3">
        <v>36.799999999999997</v>
      </c>
      <c r="H795" s="4" t="str">
        <f>IF(AND(A795="Yes",C795="School"),COUNTIFS($A$6:A795,"Yes",$C$6:C795,"School"),"")</f>
        <v/>
      </c>
    </row>
    <row r="796" spans="1:8">
      <c r="A796" s="13"/>
      <c r="B796" s="1" t="s">
        <v>1494</v>
      </c>
      <c r="C796" s="1" t="s">
        <v>24</v>
      </c>
      <c r="D796" s="1" t="s">
        <v>1604</v>
      </c>
      <c r="E796" s="1" t="s">
        <v>1605</v>
      </c>
      <c r="F796" s="2">
        <v>447</v>
      </c>
      <c r="G796" s="3">
        <v>69.8</v>
      </c>
      <c r="H796" s="4" t="str">
        <f>IF(AND(A796="Yes",C796="School"),COUNTIFS($A$6:A796,"Yes",$C$6:C796,"School"),"")</f>
        <v/>
      </c>
    </row>
    <row r="797" spans="1:8">
      <c r="A797" s="13"/>
      <c r="B797" s="1" t="s">
        <v>1494</v>
      </c>
      <c r="C797" s="1" t="s">
        <v>24</v>
      </c>
      <c r="D797" s="1" t="s">
        <v>1606</v>
      </c>
      <c r="E797" s="1" t="s">
        <v>1607</v>
      </c>
      <c r="F797" s="2">
        <v>542</v>
      </c>
      <c r="G797" s="3">
        <v>62</v>
      </c>
      <c r="H797" s="4" t="str">
        <f>IF(AND(A797="Yes",C797="School"),COUNTIFS($A$6:A797,"Yes",$C$6:C797,"School"),"")</f>
        <v/>
      </c>
    </row>
    <row r="798" spans="1:8">
      <c r="A798" s="13"/>
      <c r="B798" s="1" t="s">
        <v>1494</v>
      </c>
      <c r="C798" s="1" t="s">
        <v>24</v>
      </c>
      <c r="D798" s="1" t="s">
        <v>1608</v>
      </c>
      <c r="E798" s="1" t="s">
        <v>1609</v>
      </c>
      <c r="F798" s="2">
        <v>670</v>
      </c>
      <c r="G798" s="3">
        <v>49.6</v>
      </c>
      <c r="H798" s="4" t="str">
        <f>IF(AND(A798="Yes",C798="School"),COUNTIFS($A$6:A798,"Yes",$C$6:C798,"School"),"")</f>
        <v/>
      </c>
    </row>
    <row r="799" spans="1:8">
      <c r="A799" s="13"/>
      <c r="B799" s="1" t="s">
        <v>1494</v>
      </c>
      <c r="C799" s="1" t="s">
        <v>24</v>
      </c>
      <c r="D799" s="1" t="s">
        <v>1610</v>
      </c>
      <c r="E799" s="1" t="s">
        <v>1611</v>
      </c>
      <c r="F799" s="2">
        <v>350</v>
      </c>
      <c r="G799" s="3">
        <v>42.6</v>
      </c>
      <c r="H799" s="4" t="str">
        <f>IF(AND(A799="Yes",C799="School"),COUNTIFS($A$6:A799,"Yes",$C$6:C799,"School"),"")</f>
        <v/>
      </c>
    </row>
    <row r="800" spans="1:8">
      <c r="A800" s="13"/>
      <c r="B800" s="1" t="s">
        <v>1494</v>
      </c>
      <c r="C800" s="1" t="s">
        <v>24</v>
      </c>
      <c r="D800" s="1" t="s">
        <v>1612</v>
      </c>
      <c r="E800" s="1" t="s">
        <v>1613</v>
      </c>
      <c r="F800" s="2">
        <v>1480</v>
      </c>
      <c r="G800" s="3">
        <v>66.599999999999994</v>
      </c>
      <c r="H800" s="4" t="str">
        <f>IF(AND(A800="Yes",C800="School"),COUNTIFS($A$6:A800,"Yes",$C$6:C800,"School"),"")</f>
        <v/>
      </c>
    </row>
    <row r="801" spans="1:8">
      <c r="A801" s="13"/>
      <c r="B801" s="1" t="s">
        <v>1494</v>
      </c>
      <c r="C801" s="1" t="s">
        <v>24</v>
      </c>
      <c r="D801" s="1" t="s">
        <v>1614</v>
      </c>
      <c r="E801" s="1" t="s">
        <v>1615</v>
      </c>
      <c r="F801" s="2">
        <v>730</v>
      </c>
      <c r="G801" s="3">
        <v>43.4</v>
      </c>
      <c r="H801" s="4" t="str">
        <f>IF(AND(A801="Yes",C801="School"),COUNTIFS($A$6:A801,"Yes",$C$6:C801,"School"),"")</f>
        <v/>
      </c>
    </row>
    <row r="802" spans="1:8">
      <c r="A802" s="13"/>
      <c r="B802" s="1" t="s">
        <v>1494</v>
      </c>
      <c r="C802" s="1" t="s">
        <v>24</v>
      </c>
      <c r="D802" s="1" t="s">
        <v>1616</v>
      </c>
      <c r="E802" s="1" t="s">
        <v>1617</v>
      </c>
      <c r="F802" s="2">
        <v>405</v>
      </c>
      <c r="G802" s="3">
        <v>60</v>
      </c>
      <c r="H802" s="4" t="str">
        <f>IF(AND(A802="Yes",C802="School"),COUNTIFS($A$6:A802,"Yes",$C$6:C802,"School"),"")</f>
        <v/>
      </c>
    </row>
    <row r="803" spans="1:8">
      <c r="A803" s="13"/>
      <c r="B803" s="1" t="s">
        <v>1494</v>
      </c>
      <c r="C803" s="1" t="s">
        <v>24</v>
      </c>
      <c r="D803" s="1" t="s">
        <v>1618</v>
      </c>
      <c r="E803" s="1" t="s">
        <v>1619</v>
      </c>
      <c r="F803" s="2">
        <v>723</v>
      </c>
      <c r="G803" s="3">
        <v>54.8</v>
      </c>
      <c r="H803" s="4" t="str">
        <f>IF(AND(A803="Yes",C803="School"),COUNTIFS($A$6:A803,"Yes",$C$6:C803,"School"),"")</f>
        <v/>
      </c>
    </row>
    <row r="804" spans="1:8">
      <c r="A804" s="13"/>
      <c r="B804" s="1" t="s">
        <v>1494</v>
      </c>
      <c r="C804" s="1" t="s">
        <v>24</v>
      </c>
      <c r="D804" s="1" t="s">
        <v>1620</v>
      </c>
      <c r="E804" s="1" t="s">
        <v>1621</v>
      </c>
      <c r="F804" s="2">
        <v>207</v>
      </c>
      <c r="G804" s="3">
        <v>43.5</v>
      </c>
      <c r="H804" s="4" t="str">
        <f>IF(AND(A804="Yes",C804="School"),COUNTIFS($A$6:A804,"Yes",$C$6:C804,"School"),"")</f>
        <v/>
      </c>
    </row>
    <row r="805" spans="1:8">
      <c r="A805" s="13"/>
      <c r="B805" s="1" t="s">
        <v>1494</v>
      </c>
      <c r="C805" s="1" t="s">
        <v>24</v>
      </c>
      <c r="D805" s="1" t="s">
        <v>1622</v>
      </c>
      <c r="E805" s="1" t="s">
        <v>1623</v>
      </c>
      <c r="F805" s="2">
        <v>196</v>
      </c>
      <c r="G805" s="3">
        <v>84.2</v>
      </c>
      <c r="H805" s="4" t="str">
        <f>IF(AND(A805="Yes",C805="School"),COUNTIFS($A$6:A805,"Yes",$C$6:C805,"School"),"")</f>
        <v/>
      </c>
    </row>
    <row r="806" spans="1:8">
      <c r="A806" s="13"/>
      <c r="B806" s="1" t="s">
        <v>1494</v>
      </c>
      <c r="C806" s="1" t="s">
        <v>24</v>
      </c>
      <c r="D806" s="1" t="s">
        <v>1624</v>
      </c>
      <c r="E806" s="1" t="s">
        <v>1625</v>
      </c>
      <c r="F806" s="2">
        <v>202</v>
      </c>
      <c r="G806" s="3">
        <v>67.3</v>
      </c>
      <c r="H806" s="4" t="str">
        <f>IF(AND(A806="Yes",C806="School"),COUNTIFS($A$6:A806,"Yes",$C$6:C806,"School"),"")</f>
        <v/>
      </c>
    </row>
    <row r="807" spans="1:8">
      <c r="A807" s="13"/>
      <c r="B807" s="1" t="s">
        <v>1494</v>
      </c>
      <c r="C807" s="1" t="s">
        <v>24</v>
      </c>
      <c r="D807" s="1" t="s">
        <v>1626</v>
      </c>
      <c r="E807" s="1" t="s">
        <v>1627</v>
      </c>
      <c r="F807" s="2">
        <v>204</v>
      </c>
      <c r="G807" s="3">
        <v>62.7</v>
      </c>
      <c r="H807" s="4" t="str">
        <f>IF(AND(A807="Yes",C807="School"),COUNTIFS($A$6:A807,"Yes",$C$6:C807,"School"),"")</f>
        <v/>
      </c>
    </row>
    <row r="808" spans="1:8">
      <c r="A808" s="13"/>
      <c r="B808" s="1" t="s">
        <v>1494</v>
      </c>
      <c r="C808" s="1" t="s">
        <v>24</v>
      </c>
      <c r="D808" s="1" t="s">
        <v>1628</v>
      </c>
      <c r="E808" s="1" t="s">
        <v>1629</v>
      </c>
      <c r="F808" s="2">
        <v>674</v>
      </c>
      <c r="G808" s="3">
        <v>55.3</v>
      </c>
      <c r="H808" s="4" t="str">
        <f>IF(AND(A808="Yes",C808="School"),COUNTIFS($A$6:A808,"Yes",$C$6:C808,"School"),"")</f>
        <v/>
      </c>
    </row>
    <row r="809" spans="1:8">
      <c r="A809" s="13"/>
      <c r="B809" s="1" t="s">
        <v>1494</v>
      </c>
      <c r="C809" s="1" t="s">
        <v>24</v>
      </c>
      <c r="D809" s="1" t="s">
        <v>1630</v>
      </c>
      <c r="E809" s="1" t="s">
        <v>1631</v>
      </c>
      <c r="F809" s="2">
        <v>387</v>
      </c>
      <c r="G809" s="3">
        <v>35.700000000000003</v>
      </c>
      <c r="H809" s="4" t="str">
        <f>IF(AND(A809="Yes",C809="School"),COUNTIFS($A$6:A809,"Yes",$C$6:C809,"School"),"")</f>
        <v/>
      </c>
    </row>
    <row r="810" spans="1:8">
      <c r="A810" s="13"/>
      <c r="B810" s="1" t="s">
        <v>1494</v>
      </c>
      <c r="C810" s="1" t="s">
        <v>24</v>
      </c>
      <c r="D810" s="1" t="s">
        <v>1632</v>
      </c>
      <c r="E810" s="1" t="s">
        <v>1633</v>
      </c>
      <c r="F810" s="2">
        <v>1324</v>
      </c>
      <c r="G810" s="3">
        <v>58.6</v>
      </c>
      <c r="H810" s="4" t="str">
        <f>IF(AND(A810="Yes",C810="School"),COUNTIFS($A$6:A810,"Yes",$C$6:C810,"School"),"")</f>
        <v/>
      </c>
    </row>
    <row r="811" spans="1:8">
      <c r="A811" s="13"/>
      <c r="B811" s="1" t="s">
        <v>1494</v>
      </c>
      <c r="C811" s="1" t="s">
        <v>24</v>
      </c>
      <c r="D811" s="1" t="s">
        <v>1634</v>
      </c>
      <c r="E811" s="1" t="s">
        <v>1635</v>
      </c>
      <c r="F811" s="2">
        <v>352</v>
      </c>
      <c r="G811" s="3">
        <v>77</v>
      </c>
      <c r="H811" s="4" t="str">
        <f>IF(AND(A811="Yes",C811="School"),COUNTIFS($A$6:A811,"Yes",$C$6:C811,"School"),"")</f>
        <v/>
      </c>
    </row>
    <row r="812" spans="1:8">
      <c r="A812" s="13"/>
      <c r="B812" s="1" t="s">
        <v>1494</v>
      </c>
      <c r="C812" s="1" t="s">
        <v>24</v>
      </c>
      <c r="D812" s="1" t="s">
        <v>1636</v>
      </c>
      <c r="E812" s="1" t="s">
        <v>1637</v>
      </c>
      <c r="F812" s="2">
        <v>1299</v>
      </c>
      <c r="G812" s="3">
        <v>55.4</v>
      </c>
      <c r="H812" s="4" t="str">
        <f>IF(AND(A812="Yes",C812="School"),COUNTIFS($A$6:A812,"Yes",$C$6:C812,"School"),"")</f>
        <v/>
      </c>
    </row>
    <row r="813" spans="1:8">
      <c r="A813" s="13"/>
      <c r="B813" s="1" t="s">
        <v>1494</v>
      </c>
      <c r="C813" s="1" t="s">
        <v>24</v>
      </c>
      <c r="D813" s="1" t="s">
        <v>1638</v>
      </c>
      <c r="E813" s="1" t="s">
        <v>1639</v>
      </c>
      <c r="F813" s="2">
        <v>583</v>
      </c>
      <c r="G813" s="3">
        <v>60</v>
      </c>
      <c r="H813" s="4" t="str">
        <f>IF(AND(A813="Yes",C813="School"),COUNTIFS($A$6:A813,"Yes",$C$6:C813,"School"),"")</f>
        <v/>
      </c>
    </row>
    <row r="814" spans="1:8">
      <c r="A814" s="13"/>
      <c r="B814" s="1" t="s">
        <v>1494</v>
      </c>
      <c r="C814" s="1" t="s">
        <v>24</v>
      </c>
      <c r="D814" s="1" t="s">
        <v>1640</v>
      </c>
      <c r="E814" s="1" t="s">
        <v>1641</v>
      </c>
      <c r="F814" s="2">
        <v>483</v>
      </c>
      <c r="G814" s="3">
        <v>70.599999999999994</v>
      </c>
      <c r="H814" s="4" t="str">
        <f>IF(AND(A814="Yes",C814="School"),COUNTIFS($A$6:A814,"Yes",$C$6:C814,"School"),"")</f>
        <v/>
      </c>
    </row>
    <row r="815" spans="1:8">
      <c r="A815" s="13"/>
      <c r="B815" s="1" t="s">
        <v>1494</v>
      </c>
      <c r="C815" s="1" t="s">
        <v>24</v>
      </c>
      <c r="D815" s="1" t="s">
        <v>1642</v>
      </c>
      <c r="E815" s="1" t="s">
        <v>1643</v>
      </c>
      <c r="F815" s="2">
        <v>290</v>
      </c>
      <c r="G815" s="3">
        <v>48.6</v>
      </c>
      <c r="H815" s="4" t="str">
        <f>IF(AND(A815="Yes",C815="School"),COUNTIFS($A$6:A815,"Yes",$C$6:C815,"School"),"")</f>
        <v/>
      </c>
    </row>
    <row r="816" spans="1:8">
      <c r="A816" s="13"/>
      <c r="B816" s="1" t="s">
        <v>1494</v>
      </c>
      <c r="C816" s="1" t="s">
        <v>24</v>
      </c>
      <c r="D816" s="1" t="s">
        <v>1644</v>
      </c>
      <c r="E816" s="1" t="s">
        <v>1645</v>
      </c>
      <c r="F816" s="2">
        <v>148</v>
      </c>
      <c r="G816" s="3">
        <v>39.9</v>
      </c>
      <c r="H816" s="4" t="str">
        <f>IF(AND(A816="Yes",C816="School"),COUNTIFS($A$6:A816,"Yes",$C$6:C816,"School"),"")</f>
        <v/>
      </c>
    </row>
    <row r="817" spans="1:8">
      <c r="A817" s="13"/>
      <c r="B817" s="1" t="s">
        <v>1494</v>
      </c>
      <c r="C817" s="1" t="s">
        <v>24</v>
      </c>
      <c r="D817" s="1" t="s">
        <v>1646</v>
      </c>
      <c r="E817" s="1" t="s">
        <v>1647</v>
      </c>
      <c r="F817" s="2">
        <v>792</v>
      </c>
      <c r="G817" s="3">
        <v>33</v>
      </c>
      <c r="H817" s="4" t="str">
        <f>IF(AND(A817="Yes",C817="School"),COUNTIFS($A$6:A817,"Yes",$C$6:C817,"School"),"")</f>
        <v/>
      </c>
    </row>
    <row r="818" spans="1:8">
      <c r="A818" s="13"/>
      <c r="B818" s="1" t="s">
        <v>1494</v>
      </c>
      <c r="C818" s="1" t="s">
        <v>24</v>
      </c>
      <c r="D818" s="1" t="s">
        <v>1648</v>
      </c>
      <c r="E818" s="1" t="s">
        <v>1649</v>
      </c>
      <c r="F818" s="2">
        <v>314</v>
      </c>
      <c r="G818" s="3">
        <v>62.4</v>
      </c>
      <c r="H818" s="4" t="str">
        <f>IF(AND(A818="Yes",C818="School"),COUNTIFS($A$6:A818,"Yes",$C$6:C818,"School"),"")</f>
        <v/>
      </c>
    </row>
    <row r="819" spans="1:8">
      <c r="A819" s="13"/>
      <c r="B819" s="1" t="s">
        <v>1494</v>
      </c>
      <c r="C819" s="1" t="s">
        <v>24</v>
      </c>
      <c r="D819" s="1" t="s">
        <v>1650</v>
      </c>
      <c r="E819" s="1" t="s">
        <v>1651</v>
      </c>
      <c r="F819" s="2">
        <v>1159</v>
      </c>
      <c r="G819" s="3">
        <v>65.099999999999994</v>
      </c>
      <c r="H819" s="4" t="str">
        <f>IF(AND(A819="Yes",C819="School"),COUNTIFS($A$6:A819,"Yes",$C$6:C819,"School"),"")</f>
        <v/>
      </c>
    </row>
    <row r="820" spans="1:8">
      <c r="A820" s="13"/>
      <c r="B820" s="1" t="s">
        <v>1494</v>
      </c>
      <c r="C820" s="1" t="s">
        <v>24</v>
      </c>
      <c r="D820" s="1" t="s">
        <v>1652</v>
      </c>
      <c r="E820" s="1" t="s">
        <v>1653</v>
      </c>
      <c r="F820" s="2">
        <v>527</v>
      </c>
      <c r="G820" s="3">
        <v>36.799999999999997</v>
      </c>
      <c r="H820" s="4" t="str">
        <f>IF(AND(A820="Yes",C820="School"),COUNTIFS($A$6:A820,"Yes",$C$6:C820,"School"),"")</f>
        <v/>
      </c>
    </row>
    <row r="821" spans="1:8">
      <c r="A821" s="13"/>
      <c r="B821" s="1" t="s">
        <v>1494</v>
      </c>
      <c r="C821" s="1" t="s">
        <v>24</v>
      </c>
      <c r="D821" s="1" t="s">
        <v>1654</v>
      </c>
      <c r="E821" s="1" t="s">
        <v>1655</v>
      </c>
      <c r="F821" s="2">
        <v>331</v>
      </c>
      <c r="G821" s="3">
        <v>93.7</v>
      </c>
      <c r="H821" s="4" t="str">
        <f>IF(AND(A821="Yes",C821="School"),COUNTIFS($A$6:A821,"Yes",$C$6:C821,"School"),"")</f>
        <v/>
      </c>
    </row>
    <row r="822" spans="1:8">
      <c r="A822" s="13"/>
      <c r="B822" s="1" t="s">
        <v>1494</v>
      </c>
      <c r="C822" s="1" t="s">
        <v>24</v>
      </c>
      <c r="D822" s="1" t="s">
        <v>1656</v>
      </c>
      <c r="E822" s="1" t="s">
        <v>1657</v>
      </c>
      <c r="F822" s="2">
        <v>393</v>
      </c>
      <c r="G822" s="3">
        <v>73.3</v>
      </c>
      <c r="H822" s="4" t="str">
        <f>IF(AND(A822="Yes",C822="School"),COUNTIFS($A$6:A822,"Yes",$C$6:C822,"School"),"")</f>
        <v/>
      </c>
    </row>
    <row r="823" spans="1:8">
      <c r="A823" s="13"/>
      <c r="B823" s="1" t="s">
        <v>1494</v>
      </c>
      <c r="C823" s="1" t="s">
        <v>24</v>
      </c>
      <c r="D823" s="1" t="s">
        <v>1658</v>
      </c>
      <c r="E823" s="1" t="s">
        <v>1659</v>
      </c>
      <c r="F823" s="2">
        <v>541</v>
      </c>
      <c r="G823" s="3">
        <v>79.5</v>
      </c>
      <c r="H823" s="4" t="str">
        <f>IF(AND(A823="Yes",C823="School"),COUNTIFS($A$6:A823,"Yes",$C$6:C823,"School"),"")</f>
        <v/>
      </c>
    </row>
    <row r="824" spans="1:8">
      <c r="A824" s="13"/>
      <c r="B824" s="1" t="s">
        <v>1494</v>
      </c>
      <c r="C824" s="1" t="s">
        <v>24</v>
      </c>
      <c r="D824" s="1" t="s">
        <v>1660</v>
      </c>
      <c r="E824" s="1" t="s">
        <v>1661</v>
      </c>
      <c r="F824" s="2">
        <v>1107</v>
      </c>
      <c r="G824" s="3">
        <v>65.400000000000006</v>
      </c>
      <c r="H824" s="4" t="str">
        <f>IF(AND(A824="Yes",C824="School"),COUNTIFS($A$6:A824,"Yes",$C$6:C824,"School"),"")</f>
        <v/>
      </c>
    </row>
    <row r="825" spans="1:8">
      <c r="A825" s="13"/>
      <c r="B825" s="1" t="s">
        <v>1494</v>
      </c>
      <c r="C825" s="1" t="s">
        <v>24</v>
      </c>
      <c r="D825" s="1" t="s">
        <v>1662</v>
      </c>
      <c r="E825" s="1" t="s">
        <v>1663</v>
      </c>
      <c r="F825" s="2">
        <v>740</v>
      </c>
      <c r="G825" s="3">
        <v>68.599999999999994</v>
      </c>
      <c r="H825" s="4" t="str">
        <f>IF(AND(A825="Yes",C825="School"),COUNTIFS($A$6:A825,"Yes",$C$6:C825,"School"),"")</f>
        <v/>
      </c>
    </row>
    <row r="826" spans="1:8">
      <c r="A826" s="13"/>
      <c r="B826" s="1" t="s">
        <v>1494</v>
      </c>
      <c r="C826" s="1" t="s">
        <v>24</v>
      </c>
      <c r="D826" s="1" t="s">
        <v>1664</v>
      </c>
      <c r="E826" s="1" t="s">
        <v>1665</v>
      </c>
      <c r="F826" s="2">
        <v>412</v>
      </c>
      <c r="G826" s="3">
        <v>68.400000000000006</v>
      </c>
      <c r="H826" s="4" t="str">
        <f>IF(AND(A826="Yes",C826="School"),COUNTIFS($A$6:A826,"Yes",$C$6:C826,"School"),"")</f>
        <v/>
      </c>
    </row>
    <row r="827" spans="1:8">
      <c r="A827" s="13"/>
      <c r="B827" s="1" t="s">
        <v>1494</v>
      </c>
      <c r="C827" s="1" t="s">
        <v>24</v>
      </c>
      <c r="D827" s="1" t="s">
        <v>1666</v>
      </c>
      <c r="E827" s="1" t="s">
        <v>1667</v>
      </c>
      <c r="F827" s="2">
        <v>506</v>
      </c>
      <c r="G827" s="3">
        <v>76.099999999999994</v>
      </c>
      <c r="H827" s="4" t="str">
        <f>IF(AND(A827="Yes",C827="School"),COUNTIFS($A$6:A827,"Yes",$C$6:C827,"School"),"")</f>
        <v/>
      </c>
    </row>
    <row r="828" spans="1:8">
      <c r="A828" s="13"/>
      <c r="B828" s="1" t="s">
        <v>1668</v>
      </c>
      <c r="C828" s="1" t="s">
        <v>40</v>
      </c>
      <c r="D828" s="1" t="s">
        <v>41</v>
      </c>
      <c r="E828" s="1" t="s">
        <v>1669</v>
      </c>
      <c r="F828" s="2">
        <v>4551</v>
      </c>
      <c r="G828" s="3">
        <v>35.6</v>
      </c>
      <c r="H828" s="4" t="str">
        <f>IF(AND(A828="Yes",C828="School"),COUNTIFS($A$6:A828,"Yes",$C$6:C828,"School"),"")</f>
        <v/>
      </c>
    </row>
    <row r="829" spans="1:8">
      <c r="A829" s="13"/>
      <c r="B829" s="1" t="s">
        <v>1668</v>
      </c>
      <c r="C829" s="1" t="s">
        <v>24</v>
      </c>
      <c r="D829" s="1" t="s">
        <v>1670</v>
      </c>
      <c r="E829" s="1" t="s">
        <v>1671</v>
      </c>
      <c r="F829" s="2">
        <v>263</v>
      </c>
      <c r="G829" s="3">
        <v>52.1</v>
      </c>
      <c r="H829" s="4" t="str">
        <f>IF(AND(A829="Yes",C829="School"),COUNTIFS($A$6:A829,"Yes",$C$6:C829,"School"),"")</f>
        <v/>
      </c>
    </row>
    <row r="830" spans="1:8">
      <c r="A830" s="13"/>
      <c r="B830" s="1" t="s">
        <v>1668</v>
      </c>
      <c r="C830" s="1" t="s">
        <v>24</v>
      </c>
      <c r="D830" s="1" t="s">
        <v>1672</v>
      </c>
      <c r="E830" s="1" t="s">
        <v>1673</v>
      </c>
      <c r="F830" s="2">
        <v>1005</v>
      </c>
      <c r="G830" s="3">
        <v>34.6</v>
      </c>
      <c r="H830" s="4" t="str">
        <f>IF(AND(A830="Yes",C830="School"),COUNTIFS($A$6:A830,"Yes",$C$6:C830,"School"),"")</f>
        <v/>
      </c>
    </row>
    <row r="831" spans="1:8">
      <c r="A831" s="13"/>
      <c r="B831" s="1" t="s">
        <v>1668</v>
      </c>
      <c r="C831" s="1" t="s">
        <v>24</v>
      </c>
      <c r="D831" s="1" t="s">
        <v>1674</v>
      </c>
      <c r="E831" s="1" t="s">
        <v>1675</v>
      </c>
      <c r="F831" s="2">
        <v>468</v>
      </c>
      <c r="G831" s="3">
        <v>49.1</v>
      </c>
      <c r="H831" s="4" t="str">
        <f>IF(AND(A831="Yes",C831="School"),COUNTIFS($A$6:A831,"Yes",$C$6:C831,"School"),"")</f>
        <v/>
      </c>
    </row>
    <row r="832" spans="1:8">
      <c r="A832" s="13"/>
      <c r="B832" s="1" t="s">
        <v>1668</v>
      </c>
      <c r="C832" s="1" t="s">
        <v>24</v>
      </c>
      <c r="D832" s="1" t="s">
        <v>1676</v>
      </c>
      <c r="E832" s="1" t="s">
        <v>1677</v>
      </c>
      <c r="F832" s="2">
        <v>207</v>
      </c>
      <c r="G832" s="3">
        <v>53.1</v>
      </c>
      <c r="H832" s="4" t="str">
        <f>IF(AND(A832="Yes",C832="School"),COUNTIFS($A$6:A832,"Yes",$C$6:C832,"School"),"")</f>
        <v/>
      </c>
    </row>
    <row r="833" spans="1:8">
      <c r="A833" s="13"/>
      <c r="B833" s="1" t="s">
        <v>1668</v>
      </c>
      <c r="C833" s="1" t="s">
        <v>24</v>
      </c>
      <c r="D833" s="1" t="s">
        <v>1678</v>
      </c>
      <c r="E833" s="1" t="s">
        <v>1679</v>
      </c>
      <c r="F833" s="2">
        <v>93</v>
      </c>
      <c r="G833" s="3">
        <v>38.700000000000003</v>
      </c>
      <c r="H833" s="4" t="str">
        <f>IF(AND(A833="Yes",C833="School"),COUNTIFS($A$6:A833,"Yes",$C$6:C833,"School"),"")</f>
        <v/>
      </c>
    </row>
    <row r="834" spans="1:8">
      <c r="A834" s="13"/>
      <c r="B834" s="1" t="s">
        <v>1668</v>
      </c>
      <c r="C834" s="1" t="s">
        <v>24</v>
      </c>
      <c r="D834" s="1" t="s">
        <v>1680</v>
      </c>
      <c r="E834" s="1" t="s">
        <v>1681</v>
      </c>
      <c r="F834" s="2">
        <v>760</v>
      </c>
      <c r="G834" s="3">
        <v>18.3</v>
      </c>
      <c r="H834" s="4" t="str">
        <f>IF(AND(A834="Yes",C834="School"),COUNTIFS($A$6:A834,"Yes",$C$6:C834,"School"),"")</f>
        <v/>
      </c>
    </row>
    <row r="835" spans="1:8">
      <c r="A835" s="13"/>
      <c r="B835" s="1" t="s">
        <v>1668</v>
      </c>
      <c r="C835" s="1" t="s">
        <v>24</v>
      </c>
      <c r="D835" s="1" t="s">
        <v>1682</v>
      </c>
      <c r="E835" s="1" t="s">
        <v>1683</v>
      </c>
      <c r="F835" s="2">
        <v>633</v>
      </c>
      <c r="G835" s="3">
        <v>27</v>
      </c>
      <c r="H835" s="4" t="str">
        <f>IF(AND(A835="Yes",C835="School"),COUNTIFS($A$6:A835,"Yes",$C$6:C835,"School"),"")</f>
        <v/>
      </c>
    </row>
    <row r="836" spans="1:8">
      <c r="A836" s="13"/>
      <c r="B836" s="1" t="s">
        <v>1668</v>
      </c>
      <c r="C836" s="1" t="s">
        <v>24</v>
      </c>
      <c r="D836" s="1" t="s">
        <v>1684</v>
      </c>
      <c r="E836" s="1" t="s">
        <v>1685</v>
      </c>
      <c r="F836" s="2">
        <v>575</v>
      </c>
      <c r="G836" s="3">
        <v>36.299999999999997</v>
      </c>
      <c r="H836" s="4" t="str">
        <f>IF(AND(A836="Yes",C836="School"),COUNTIFS($A$6:A836,"Yes",$C$6:C836,"School"),"")</f>
        <v/>
      </c>
    </row>
    <row r="837" spans="1:8">
      <c r="A837" s="13"/>
      <c r="B837" s="1" t="s">
        <v>1668</v>
      </c>
      <c r="C837" s="1" t="s">
        <v>24</v>
      </c>
      <c r="D837" s="1" t="s">
        <v>1686</v>
      </c>
      <c r="E837" s="1" t="s">
        <v>1687</v>
      </c>
      <c r="F837" s="2">
        <v>269</v>
      </c>
      <c r="G837" s="3">
        <v>22.7</v>
      </c>
      <c r="H837" s="4" t="str">
        <f>IF(AND(A837="Yes",C837="School"),COUNTIFS($A$6:A837,"Yes",$C$6:C837,"School"),"")</f>
        <v/>
      </c>
    </row>
    <row r="838" spans="1:8">
      <c r="A838" s="13"/>
      <c r="B838" s="1" t="s">
        <v>1668</v>
      </c>
      <c r="C838" s="1" t="s">
        <v>24</v>
      </c>
      <c r="D838" s="1" t="s">
        <v>1688</v>
      </c>
      <c r="E838" s="1" t="s">
        <v>1689</v>
      </c>
      <c r="F838" s="2">
        <v>278</v>
      </c>
      <c r="G838" s="3">
        <v>65.099999999999994</v>
      </c>
      <c r="H838" s="4" t="str">
        <f>IF(AND(A838="Yes",C838="School"),COUNTIFS($A$6:A838,"Yes",$C$6:C838,"School"),"")</f>
        <v/>
      </c>
    </row>
    <row r="839" spans="1:8">
      <c r="A839" s="13"/>
      <c r="B839" s="1" t="s">
        <v>1690</v>
      </c>
      <c r="C839" s="1" t="s">
        <v>24</v>
      </c>
      <c r="D839" s="1" t="s">
        <v>1690</v>
      </c>
      <c r="E839" s="1" t="s">
        <v>1691</v>
      </c>
      <c r="F839" s="2">
        <v>114</v>
      </c>
      <c r="G839" s="3">
        <v>91.2</v>
      </c>
      <c r="H839" s="4" t="str">
        <f>IF(AND(A839="Yes",C839="School"),COUNTIFS($A$6:A839,"Yes",$C$6:C839,"School"),"")</f>
        <v/>
      </c>
    </row>
    <row r="840" spans="1:8">
      <c r="A840" s="13"/>
      <c r="B840" s="1" t="s">
        <v>1692</v>
      </c>
      <c r="C840" s="1" t="s">
        <v>40</v>
      </c>
      <c r="D840" s="1" t="s">
        <v>41</v>
      </c>
      <c r="E840" s="1" t="s">
        <v>1693</v>
      </c>
      <c r="F840" s="2">
        <v>4771</v>
      </c>
      <c r="G840" s="3">
        <v>29.2</v>
      </c>
      <c r="H840" s="4" t="str">
        <f>IF(AND(A840="Yes",C840="School"),COUNTIFS($A$6:A840,"Yes",$C$6:C840,"School"),"")</f>
        <v/>
      </c>
    </row>
    <row r="841" spans="1:8">
      <c r="A841" s="13"/>
      <c r="B841" s="1" t="s">
        <v>1692</v>
      </c>
      <c r="C841" s="1" t="s">
        <v>24</v>
      </c>
      <c r="D841" s="1" t="s">
        <v>1694</v>
      </c>
      <c r="E841" s="1" t="s">
        <v>1695</v>
      </c>
      <c r="F841" s="2">
        <v>265</v>
      </c>
      <c r="G841" s="3">
        <v>47.2</v>
      </c>
      <c r="H841" s="4" t="str">
        <f>IF(AND(A841="Yes",C841="School"),COUNTIFS($A$6:A841,"Yes",$C$6:C841,"School"),"")</f>
        <v/>
      </c>
    </row>
    <row r="842" spans="1:8">
      <c r="A842" s="13"/>
      <c r="B842" s="1" t="s">
        <v>1692</v>
      </c>
      <c r="C842" s="1" t="s">
        <v>24</v>
      </c>
      <c r="D842" s="1" t="s">
        <v>1696</v>
      </c>
      <c r="E842" s="1" t="s">
        <v>1697</v>
      </c>
      <c r="F842" s="2">
        <v>349</v>
      </c>
      <c r="G842" s="3">
        <v>36.1</v>
      </c>
      <c r="H842" s="4" t="str">
        <f>IF(AND(A842="Yes",C842="School"),COUNTIFS($A$6:A842,"Yes",$C$6:C842,"School"),"")</f>
        <v/>
      </c>
    </row>
    <row r="843" spans="1:8">
      <c r="A843" s="13"/>
      <c r="B843" s="1" t="s">
        <v>1692</v>
      </c>
      <c r="C843" s="1" t="s">
        <v>24</v>
      </c>
      <c r="D843" s="1" t="s">
        <v>1698</v>
      </c>
      <c r="E843" s="1" t="s">
        <v>1699</v>
      </c>
      <c r="F843" s="2">
        <v>55</v>
      </c>
      <c r="G843" s="3">
        <v>27.3</v>
      </c>
      <c r="H843" s="4" t="str">
        <f>IF(AND(A843="Yes",C843="School"),COUNTIFS($A$6:A843,"Yes",$C$6:C843,"School"),"")</f>
        <v/>
      </c>
    </row>
    <row r="844" spans="1:8">
      <c r="A844" s="13"/>
      <c r="B844" s="1" t="s">
        <v>1692</v>
      </c>
      <c r="C844" s="1" t="s">
        <v>24</v>
      </c>
      <c r="D844" s="1" t="s">
        <v>1700</v>
      </c>
      <c r="E844" s="1" t="s">
        <v>1701</v>
      </c>
      <c r="F844" s="2">
        <v>48</v>
      </c>
      <c r="G844" s="3">
        <v>43.8</v>
      </c>
      <c r="H844" s="4" t="str">
        <f>IF(AND(A844="Yes",C844="School"),COUNTIFS($A$6:A844,"Yes",$C$6:C844,"School"),"")</f>
        <v/>
      </c>
    </row>
    <row r="845" spans="1:8">
      <c r="A845" s="13"/>
      <c r="B845" s="1" t="s">
        <v>1692</v>
      </c>
      <c r="C845" s="1" t="s">
        <v>24</v>
      </c>
      <c r="D845" s="1" t="s">
        <v>1702</v>
      </c>
      <c r="E845" s="1" t="s">
        <v>1703</v>
      </c>
      <c r="F845" s="2">
        <v>263</v>
      </c>
      <c r="G845" s="3">
        <v>36.9</v>
      </c>
      <c r="H845" s="4" t="str">
        <f>IF(AND(A845="Yes",C845="School"),COUNTIFS($A$6:A845,"Yes",$C$6:C845,"School"),"")</f>
        <v/>
      </c>
    </row>
    <row r="846" spans="1:8">
      <c r="A846" s="13"/>
      <c r="B846" s="1" t="s">
        <v>1692</v>
      </c>
      <c r="C846" s="1" t="s">
        <v>24</v>
      </c>
      <c r="D846" s="1" t="s">
        <v>1704</v>
      </c>
      <c r="E846" s="1" t="s">
        <v>1705</v>
      </c>
      <c r="F846" s="2">
        <v>772</v>
      </c>
      <c r="G846" s="3">
        <v>18.8</v>
      </c>
      <c r="H846" s="4" t="str">
        <f>IF(AND(A846="Yes",C846="School"),COUNTIFS($A$6:A846,"Yes",$C$6:C846,"School"),"")</f>
        <v/>
      </c>
    </row>
    <row r="847" spans="1:8">
      <c r="A847" s="13"/>
      <c r="B847" s="1" t="s">
        <v>1692</v>
      </c>
      <c r="C847" s="1" t="s">
        <v>24</v>
      </c>
      <c r="D847" s="1" t="s">
        <v>1706</v>
      </c>
      <c r="E847" s="1" t="s">
        <v>1707</v>
      </c>
      <c r="F847" s="2">
        <v>598</v>
      </c>
      <c r="G847" s="3">
        <v>19.2</v>
      </c>
      <c r="H847" s="4" t="str">
        <f>IF(AND(A847="Yes",C847="School"),COUNTIFS($A$6:A847,"Yes",$C$6:C847,"School"),"")</f>
        <v/>
      </c>
    </row>
    <row r="848" spans="1:8">
      <c r="A848" s="13"/>
      <c r="B848" s="1" t="s">
        <v>1692</v>
      </c>
      <c r="C848" s="1" t="s">
        <v>24</v>
      </c>
      <c r="D848" s="1" t="s">
        <v>1708</v>
      </c>
      <c r="E848" s="1" t="s">
        <v>1709</v>
      </c>
      <c r="F848" s="2">
        <v>464</v>
      </c>
      <c r="G848" s="3">
        <v>20.7</v>
      </c>
      <c r="H848" s="4" t="str">
        <f>IF(AND(A848="Yes",C848="School"),COUNTIFS($A$6:A848,"Yes",$C$6:C848,"School"),"")</f>
        <v/>
      </c>
    </row>
    <row r="849" spans="1:8">
      <c r="A849" s="13"/>
      <c r="B849" s="1" t="s">
        <v>1692</v>
      </c>
      <c r="C849" s="1" t="s">
        <v>24</v>
      </c>
      <c r="D849" s="1" t="s">
        <v>1710</v>
      </c>
      <c r="E849" s="1" t="s">
        <v>1711</v>
      </c>
      <c r="F849" s="2">
        <v>622</v>
      </c>
      <c r="G849" s="3">
        <v>38.6</v>
      </c>
      <c r="H849" s="4" t="str">
        <f>IF(AND(A849="Yes",C849="School"),COUNTIFS($A$6:A849,"Yes",$C$6:C849,"School"),"")</f>
        <v/>
      </c>
    </row>
    <row r="850" spans="1:8">
      <c r="A850" s="13"/>
      <c r="B850" s="1" t="s">
        <v>1692</v>
      </c>
      <c r="C850" s="1" t="s">
        <v>24</v>
      </c>
      <c r="D850" s="1" t="s">
        <v>1712</v>
      </c>
      <c r="E850" s="1" t="s">
        <v>1713</v>
      </c>
      <c r="F850" s="2">
        <v>453</v>
      </c>
      <c r="G850" s="3">
        <v>27.4</v>
      </c>
      <c r="H850" s="4" t="str">
        <f>IF(AND(A850="Yes",C850="School"),COUNTIFS($A$6:A850,"Yes",$C$6:C850,"School"),"")</f>
        <v/>
      </c>
    </row>
    <row r="851" spans="1:8">
      <c r="A851" s="13"/>
      <c r="B851" s="1" t="s">
        <v>1692</v>
      </c>
      <c r="C851" s="1" t="s">
        <v>24</v>
      </c>
      <c r="D851" s="1" t="s">
        <v>1714</v>
      </c>
      <c r="E851" s="1" t="s">
        <v>1715</v>
      </c>
      <c r="F851" s="2">
        <v>407</v>
      </c>
      <c r="G851" s="3">
        <v>32.4</v>
      </c>
      <c r="H851" s="4" t="str">
        <f>IF(AND(A851="Yes",C851="School"),COUNTIFS($A$6:A851,"Yes",$C$6:C851,"School"),"")</f>
        <v/>
      </c>
    </row>
    <row r="852" spans="1:8">
      <c r="A852" s="13"/>
      <c r="B852" s="1" t="s">
        <v>1692</v>
      </c>
      <c r="C852" s="1" t="s">
        <v>24</v>
      </c>
      <c r="D852" s="1" t="s">
        <v>1716</v>
      </c>
      <c r="E852" s="1" t="s">
        <v>1717</v>
      </c>
      <c r="F852" s="2">
        <v>475</v>
      </c>
      <c r="G852" s="3">
        <v>32.6</v>
      </c>
      <c r="H852" s="4" t="str">
        <f>IF(AND(A852="Yes",C852="School"),COUNTIFS($A$6:A852,"Yes",$C$6:C852,"School"),"")</f>
        <v/>
      </c>
    </row>
    <row r="853" spans="1:8">
      <c r="A853" s="13"/>
      <c r="B853" s="1" t="s">
        <v>1718</v>
      </c>
      <c r="C853" s="1" t="s">
        <v>24</v>
      </c>
      <c r="D853" s="1" t="s">
        <v>1718</v>
      </c>
      <c r="E853" s="1" t="s">
        <v>1719</v>
      </c>
      <c r="F853" s="2">
        <v>581</v>
      </c>
      <c r="G853" s="3">
        <v>61.3</v>
      </c>
      <c r="H853" s="4" t="str">
        <f>IF(AND(A853="Yes",C853="School"),COUNTIFS($A$6:A853,"Yes",$C$6:C853,"School"),"")</f>
        <v/>
      </c>
    </row>
    <row r="854" spans="1:8">
      <c r="A854" s="13"/>
      <c r="B854" s="1" t="s">
        <v>1720</v>
      </c>
      <c r="C854" s="1" t="s">
        <v>40</v>
      </c>
      <c r="D854" s="1" t="s">
        <v>41</v>
      </c>
      <c r="E854" s="1" t="s">
        <v>1721</v>
      </c>
      <c r="F854" s="2">
        <v>17415</v>
      </c>
      <c r="G854" s="3">
        <v>52.1</v>
      </c>
      <c r="H854" s="4" t="str">
        <f>IF(AND(A854="Yes",C854="School"),COUNTIFS($A$6:A854,"Yes",$C$6:C854,"School"),"")</f>
        <v/>
      </c>
    </row>
    <row r="855" spans="1:8">
      <c r="A855" s="13"/>
      <c r="B855" s="1" t="s">
        <v>1720</v>
      </c>
      <c r="C855" s="1" t="s">
        <v>24</v>
      </c>
      <c r="D855" s="1" t="s">
        <v>1722</v>
      </c>
      <c r="E855" s="1" t="s">
        <v>1723</v>
      </c>
      <c r="F855" s="2">
        <v>221</v>
      </c>
      <c r="G855" s="3">
        <v>65.599999999999994</v>
      </c>
      <c r="H855" s="4" t="str">
        <f>IF(AND(A855="Yes",C855="School"),COUNTIFS($A$6:A855,"Yes",$C$6:C855,"School"),"")</f>
        <v/>
      </c>
    </row>
    <row r="856" spans="1:8">
      <c r="A856" s="13"/>
      <c r="B856" s="1" t="s">
        <v>1720</v>
      </c>
      <c r="C856" s="1" t="s">
        <v>24</v>
      </c>
      <c r="D856" s="1" t="s">
        <v>1724</v>
      </c>
      <c r="E856" s="1" t="s">
        <v>1725</v>
      </c>
      <c r="F856" s="2">
        <v>795</v>
      </c>
      <c r="G856" s="3">
        <v>49.7</v>
      </c>
      <c r="H856" s="4" t="str">
        <f>IF(AND(A856="Yes",C856="School"),COUNTIFS($A$6:A856,"Yes",$C$6:C856,"School"),"")</f>
        <v/>
      </c>
    </row>
    <row r="857" spans="1:8">
      <c r="A857" s="13"/>
      <c r="B857" s="1" t="s">
        <v>1720</v>
      </c>
      <c r="C857" s="1" t="s">
        <v>24</v>
      </c>
      <c r="D857" s="1" t="s">
        <v>1726</v>
      </c>
      <c r="E857" s="1" t="s">
        <v>1727</v>
      </c>
      <c r="F857" s="2">
        <v>677</v>
      </c>
      <c r="G857" s="3">
        <v>55.1</v>
      </c>
      <c r="H857" s="4" t="str">
        <f>IF(AND(A857="Yes",C857="School"),COUNTIFS($A$6:A857,"Yes",$C$6:C857,"School"),"")</f>
        <v/>
      </c>
    </row>
    <row r="858" spans="1:8">
      <c r="A858" s="13"/>
      <c r="B858" s="1" t="s">
        <v>1720</v>
      </c>
      <c r="C858" s="1" t="s">
        <v>24</v>
      </c>
      <c r="D858" s="1" t="s">
        <v>1728</v>
      </c>
      <c r="E858" s="1" t="s">
        <v>1729</v>
      </c>
      <c r="F858" s="2">
        <v>441</v>
      </c>
      <c r="G858" s="3">
        <v>66</v>
      </c>
      <c r="H858" s="4" t="str">
        <f>IF(AND(A858="Yes",C858="School"),COUNTIFS($A$6:A858,"Yes",$C$6:C858,"School"),"")</f>
        <v/>
      </c>
    </row>
    <row r="859" spans="1:8">
      <c r="A859" s="13"/>
      <c r="B859" s="1" t="s">
        <v>1720</v>
      </c>
      <c r="C859" s="1" t="s">
        <v>24</v>
      </c>
      <c r="D859" s="1" t="s">
        <v>1730</v>
      </c>
      <c r="E859" s="1" t="s">
        <v>1731</v>
      </c>
      <c r="F859" s="2">
        <v>72</v>
      </c>
      <c r="G859" s="3">
        <v>80.599999999999994</v>
      </c>
      <c r="H859" s="4" t="str">
        <f>IF(AND(A859="Yes",C859="School"),COUNTIFS($A$6:A859,"Yes",$C$6:C859,"School"),"")</f>
        <v/>
      </c>
    </row>
    <row r="860" spans="1:8">
      <c r="A860" s="13"/>
      <c r="B860" s="1" t="s">
        <v>1720</v>
      </c>
      <c r="C860" s="1" t="s">
        <v>24</v>
      </c>
      <c r="D860" s="1" t="s">
        <v>1732</v>
      </c>
      <c r="E860" s="1" t="s">
        <v>1733</v>
      </c>
      <c r="F860" s="2">
        <v>136</v>
      </c>
      <c r="G860" s="3">
        <v>39.700000000000003</v>
      </c>
      <c r="H860" s="4" t="str">
        <f>IF(AND(A860="Yes",C860="School"),COUNTIFS($A$6:A860,"Yes",$C$6:C860,"School"),"")</f>
        <v/>
      </c>
    </row>
    <row r="861" spans="1:8">
      <c r="A861" s="13"/>
      <c r="B861" s="1" t="s">
        <v>1720</v>
      </c>
      <c r="C861" s="1" t="s">
        <v>24</v>
      </c>
      <c r="D861" s="1" t="s">
        <v>1734</v>
      </c>
      <c r="E861" s="1" t="s">
        <v>1735</v>
      </c>
      <c r="F861" s="2">
        <v>418</v>
      </c>
      <c r="G861" s="3">
        <v>52.4</v>
      </c>
      <c r="H861" s="4" t="str">
        <f>IF(AND(A861="Yes",C861="School"),COUNTIFS($A$6:A861,"Yes",$C$6:C861,"School"),"")</f>
        <v/>
      </c>
    </row>
    <row r="862" spans="1:8">
      <c r="A862" s="13"/>
      <c r="B862" s="1" t="s">
        <v>1720</v>
      </c>
      <c r="C862" s="1" t="s">
        <v>24</v>
      </c>
      <c r="D862" s="1" t="s">
        <v>1736</v>
      </c>
      <c r="E862" s="1" t="s">
        <v>1737</v>
      </c>
      <c r="F862" s="2">
        <v>361</v>
      </c>
      <c r="G862" s="3">
        <v>59.3</v>
      </c>
      <c r="H862" s="4" t="str">
        <f>IF(AND(A862="Yes",C862="School"),COUNTIFS($A$6:A862,"Yes",$C$6:C862,"School"),"")</f>
        <v/>
      </c>
    </row>
    <row r="863" spans="1:8">
      <c r="A863" s="13"/>
      <c r="B863" s="1" t="s">
        <v>1720</v>
      </c>
      <c r="C863" s="1" t="s">
        <v>24</v>
      </c>
      <c r="D863" s="1" t="s">
        <v>1738</v>
      </c>
      <c r="E863" s="1" t="s">
        <v>1739</v>
      </c>
      <c r="F863" s="2">
        <v>511</v>
      </c>
      <c r="G863" s="3">
        <v>51.3</v>
      </c>
      <c r="H863" s="4" t="str">
        <f>IF(AND(A863="Yes",C863="School"),COUNTIFS($A$6:A863,"Yes",$C$6:C863,"School"),"")</f>
        <v/>
      </c>
    </row>
    <row r="864" spans="1:8">
      <c r="A864" s="13"/>
      <c r="B864" s="1" t="s">
        <v>1720</v>
      </c>
      <c r="C864" s="1" t="s">
        <v>24</v>
      </c>
      <c r="D864" s="1" t="s">
        <v>1740</v>
      </c>
      <c r="E864" s="1" t="s">
        <v>1741</v>
      </c>
      <c r="F864" s="2">
        <v>624</v>
      </c>
      <c r="G864" s="3">
        <v>51.6</v>
      </c>
      <c r="H864" s="4" t="str">
        <f>IF(AND(A864="Yes",C864="School"),COUNTIFS($A$6:A864,"Yes",$C$6:C864,"School"),"")</f>
        <v/>
      </c>
    </row>
    <row r="865" spans="1:8">
      <c r="A865" s="13"/>
      <c r="B865" s="1" t="s">
        <v>1720</v>
      </c>
      <c r="C865" s="1" t="s">
        <v>24</v>
      </c>
      <c r="D865" s="1" t="s">
        <v>1742</v>
      </c>
      <c r="E865" s="1" t="s">
        <v>1743</v>
      </c>
      <c r="F865" s="2">
        <v>537</v>
      </c>
      <c r="G865" s="3">
        <v>62.2</v>
      </c>
      <c r="H865" s="4" t="str">
        <f>IF(AND(A865="Yes",C865="School"),COUNTIFS($A$6:A865,"Yes",$C$6:C865,"School"),"")</f>
        <v/>
      </c>
    </row>
    <row r="866" spans="1:8">
      <c r="A866" s="13"/>
      <c r="B866" s="1" t="s">
        <v>1720</v>
      </c>
      <c r="C866" s="1" t="s">
        <v>24</v>
      </c>
      <c r="D866" s="1" t="s">
        <v>1744</v>
      </c>
      <c r="E866" s="1" t="s">
        <v>1745</v>
      </c>
      <c r="F866" s="2">
        <v>462</v>
      </c>
      <c r="G866" s="3">
        <v>51.9</v>
      </c>
      <c r="H866" s="4" t="str">
        <f>IF(AND(A866="Yes",C866="School"),COUNTIFS($A$6:A866,"Yes",$C$6:C866,"School"),"")</f>
        <v/>
      </c>
    </row>
    <row r="867" spans="1:8">
      <c r="A867" s="13"/>
      <c r="B867" s="1" t="s">
        <v>1720</v>
      </c>
      <c r="C867" s="1" t="s">
        <v>24</v>
      </c>
      <c r="D867" s="1" t="s">
        <v>1746</v>
      </c>
      <c r="E867" s="1" t="s">
        <v>1747</v>
      </c>
      <c r="F867" s="2">
        <v>471</v>
      </c>
      <c r="G867" s="3">
        <v>46.9</v>
      </c>
      <c r="H867" s="4" t="str">
        <f>IF(AND(A867="Yes",C867="School"),COUNTIFS($A$6:A867,"Yes",$C$6:C867,"School"),"")</f>
        <v/>
      </c>
    </row>
    <row r="868" spans="1:8">
      <c r="A868" s="13"/>
      <c r="B868" s="1" t="s">
        <v>1720</v>
      </c>
      <c r="C868" s="1" t="s">
        <v>24</v>
      </c>
      <c r="D868" s="1" t="s">
        <v>1748</v>
      </c>
      <c r="E868" s="1" t="s">
        <v>1749</v>
      </c>
      <c r="F868" s="2">
        <v>391</v>
      </c>
      <c r="G868" s="3">
        <v>63.4</v>
      </c>
      <c r="H868" s="4" t="str">
        <f>IF(AND(A868="Yes",C868="School"),COUNTIFS($A$6:A868,"Yes",$C$6:C868,"School"),"")</f>
        <v/>
      </c>
    </row>
    <row r="869" spans="1:8">
      <c r="A869" s="13"/>
      <c r="B869" s="1" t="s">
        <v>1720</v>
      </c>
      <c r="C869" s="1" t="s">
        <v>24</v>
      </c>
      <c r="D869" s="1" t="s">
        <v>1750</v>
      </c>
      <c r="E869" s="1" t="s">
        <v>1751</v>
      </c>
      <c r="F869" s="2">
        <v>614</v>
      </c>
      <c r="G869" s="3">
        <v>52</v>
      </c>
      <c r="H869" s="4" t="str">
        <f>IF(AND(A869="Yes",C869="School"),COUNTIFS($A$6:A869,"Yes",$C$6:C869,"School"),"")</f>
        <v/>
      </c>
    </row>
    <row r="870" spans="1:8">
      <c r="A870" s="13"/>
      <c r="B870" s="1" t="s">
        <v>1720</v>
      </c>
      <c r="C870" s="1" t="s">
        <v>24</v>
      </c>
      <c r="D870" s="1" t="s">
        <v>1752</v>
      </c>
      <c r="E870" s="1" t="s">
        <v>1753</v>
      </c>
      <c r="F870" s="2">
        <v>736</v>
      </c>
      <c r="G870" s="3">
        <v>51.2</v>
      </c>
      <c r="H870" s="4" t="str">
        <f>IF(AND(A870="Yes",C870="School"),COUNTIFS($A$6:A870,"Yes",$C$6:C870,"School"),"")</f>
        <v/>
      </c>
    </row>
    <row r="871" spans="1:8">
      <c r="A871" s="13"/>
      <c r="B871" s="1" t="s">
        <v>1720</v>
      </c>
      <c r="C871" s="1" t="s">
        <v>24</v>
      </c>
      <c r="D871" s="1" t="s">
        <v>1754</v>
      </c>
      <c r="E871" s="1" t="s">
        <v>1755</v>
      </c>
      <c r="F871" s="2">
        <v>554</v>
      </c>
      <c r="G871" s="3">
        <v>50.5</v>
      </c>
      <c r="H871" s="4" t="str">
        <f>IF(AND(A871="Yes",C871="School"),COUNTIFS($A$6:A871,"Yes",$C$6:C871,"School"),"")</f>
        <v/>
      </c>
    </row>
    <row r="872" spans="1:8">
      <c r="A872" s="13"/>
      <c r="B872" s="1" t="s">
        <v>1720</v>
      </c>
      <c r="C872" s="1" t="s">
        <v>24</v>
      </c>
      <c r="D872" s="1" t="s">
        <v>1756</v>
      </c>
      <c r="E872" s="1" t="s">
        <v>1757</v>
      </c>
      <c r="F872" s="2">
        <v>896</v>
      </c>
      <c r="G872" s="3">
        <v>41</v>
      </c>
      <c r="H872" s="4" t="str">
        <f>IF(AND(A872="Yes",C872="School"),COUNTIFS($A$6:A872,"Yes",$C$6:C872,"School"),"")</f>
        <v/>
      </c>
    </row>
    <row r="873" spans="1:8">
      <c r="A873" s="13"/>
      <c r="B873" s="1" t="s">
        <v>1720</v>
      </c>
      <c r="C873" s="1" t="s">
        <v>24</v>
      </c>
      <c r="D873" s="1" t="s">
        <v>1758</v>
      </c>
      <c r="E873" s="1" t="s">
        <v>1759</v>
      </c>
      <c r="F873" s="2">
        <v>719</v>
      </c>
      <c r="G873" s="3">
        <v>45.1</v>
      </c>
      <c r="H873" s="4" t="str">
        <f>IF(AND(A873="Yes",C873="School"),COUNTIFS($A$6:A873,"Yes",$C$6:C873,"School"),"")</f>
        <v/>
      </c>
    </row>
    <row r="874" spans="1:8">
      <c r="A874" s="13"/>
      <c r="B874" s="1" t="s">
        <v>1720</v>
      </c>
      <c r="C874" s="1" t="s">
        <v>24</v>
      </c>
      <c r="D874" s="1" t="s">
        <v>1760</v>
      </c>
      <c r="E874" s="1" t="s">
        <v>1761</v>
      </c>
      <c r="F874" s="2">
        <v>606</v>
      </c>
      <c r="G874" s="3">
        <v>42.2</v>
      </c>
      <c r="H874" s="4" t="str">
        <f>IF(AND(A874="Yes",C874="School"),COUNTIFS($A$6:A874,"Yes",$C$6:C874,"School"),"")</f>
        <v/>
      </c>
    </row>
    <row r="875" spans="1:8">
      <c r="A875" s="13"/>
      <c r="B875" s="1" t="s">
        <v>1720</v>
      </c>
      <c r="C875" s="1" t="s">
        <v>24</v>
      </c>
      <c r="D875" s="1" t="s">
        <v>1762</v>
      </c>
      <c r="E875" s="1" t="s">
        <v>1763</v>
      </c>
      <c r="F875" s="2">
        <v>974</v>
      </c>
      <c r="G875" s="3">
        <v>34.799999999999997</v>
      </c>
      <c r="H875" s="4" t="str">
        <f>IF(AND(A875="Yes",C875="School"),COUNTIFS($A$6:A875,"Yes",$C$6:C875,"School"),"")</f>
        <v/>
      </c>
    </row>
    <row r="876" spans="1:8">
      <c r="A876" s="13"/>
      <c r="B876" s="1" t="s">
        <v>1720</v>
      </c>
      <c r="C876" s="1" t="s">
        <v>24</v>
      </c>
      <c r="D876" s="1" t="s">
        <v>1764</v>
      </c>
      <c r="E876" s="1" t="s">
        <v>1765</v>
      </c>
      <c r="F876" s="2">
        <v>747</v>
      </c>
      <c r="G876" s="3">
        <v>42.2</v>
      </c>
      <c r="H876" s="4" t="str">
        <f>IF(AND(A876="Yes",C876="School"),COUNTIFS($A$6:A876,"Yes",$C$6:C876,"School"),"")</f>
        <v/>
      </c>
    </row>
    <row r="877" spans="1:8">
      <c r="A877" s="13"/>
      <c r="B877" s="1" t="s">
        <v>1720</v>
      </c>
      <c r="C877" s="1" t="s">
        <v>24</v>
      </c>
      <c r="D877" s="1" t="s">
        <v>1766</v>
      </c>
      <c r="E877" s="1" t="s">
        <v>1767</v>
      </c>
      <c r="F877" s="2">
        <v>329</v>
      </c>
      <c r="G877" s="3">
        <v>64.7</v>
      </c>
      <c r="H877" s="4" t="str">
        <f>IF(AND(A877="Yes",C877="School"),COUNTIFS($A$6:A877,"Yes",$C$6:C877,"School"),"")</f>
        <v/>
      </c>
    </row>
    <row r="878" spans="1:8">
      <c r="A878" s="13"/>
      <c r="B878" s="1" t="s">
        <v>1720</v>
      </c>
      <c r="C878" s="1" t="s">
        <v>24</v>
      </c>
      <c r="D878" s="1" t="s">
        <v>1768</v>
      </c>
      <c r="E878" s="1" t="s">
        <v>1769</v>
      </c>
      <c r="F878" s="2">
        <v>269</v>
      </c>
      <c r="G878" s="3">
        <v>60.2</v>
      </c>
      <c r="H878" s="4" t="str">
        <f>IF(AND(A878="Yes",C878="School"),COUNTIFS($A$6:A878,"Yes",$C$6:C878,"School"),"")</f>
        <v/>
      </c>
    </row>
    <row r="879" spans="1:8">
      <c r="A879" s="13"/>
      <c r="B879" s="1" t="s">
        <v>1720</v>
      </c>
      <c r="C879" s="1" t="s">
        <v>24</v>
      </c>
      <c r="D879" s="1" t="s">
        <v>1770</v>
      </c>
      <c r="E879" s="1" t="s">
        <v>1771</v>
      </c>
      <c r="F879" s="2">
        <v>216</v>
      </c>
      <c r="G879" s="3">
        <v>74.099999999999994</v>
      </c>
      <c r="H879" s="4" t="str">
        <f>IF(AND(A879="Yes",C879="School"),COUNTIFS($A$6:A879,"Yes",$C$6:C879,"School"),"")</f>
        <v/>
      </c>
    </row>
    <row r="880" spans="1:8">
      <c r="A880" s="13"/>
      <c r="B880" s="1" t="s">
        <v>1720</v>
      </c>
      <c r="C880" s="1" t="s">
        <v>24</v>
      </c>
      <c r="D880" s="1" t="s">
        <v>1772</v>
      </c>
      <c r="E880" s="1" t="s">
        <v>1773</v>
      </c>
      <c r="F880" s="2">
        <v>635</v>
      </c>
      <c r="G880" s="3">
        <v>60.6</v>
      </c>
      <c r="H880" s="4" t="str">
        <f>IF(AND(A880="Yes",C880="School"),COUNTIFS($A$6:A880,"Yes",$C$6:C880,"School"),"")</f>
        <v/>
      </c>
    </row>
    <row r="881" spans="1:8">
      <c r="A881" s="13"/>
      <c r="B881" s="1" t="s">
        <v>1720</v>
      </c>
      <c r="C881" s="1" t="s">
        <v>24</v>
      </c>
      <c r="D881" s="1" t="s">
        <v>1774</v>
      </c>
      <c r="E881" s="1" t="s">
        <v>1775</v>
      </c>
      <c r="F881" s="2">
        <v>287</v>
      </c>
      <c r="G881" s="3">
        <v>69</v>
      </c>
      <c r="H881" s="4" t="str">
        <f>IF(AND(A881="Yes",C881="School"),COUNTIFS($A$6:A881,"Yes",$C$6:C881,"School"),"")</f>
        <v/>
      </c>
    </row>
    <row r="882" spans="1:8">
      <c r="A882" s="13"/>
      <c r="B882" s="1" t="s">
        <v>1720</v>
      </c>
      <c r="C882" s="1" t="s">
        <v>24</v>
      </c>
      <c r="D882" s="1" t="s">
        <v>1776</v>
      </c>
      <c r="E882" s="1" t="s">
        <v>1777</v>
      </c>
      <c r="F882" s="2">
        <v>604</v>
      </c>
      <c r="G882" s="3">
        <v>63.6</v>
      </c>
      <c r="H882" s="4" t="str">
        <f>IF(AND(A882="Yes",C882="School"),COUNTIFS($A$6:A882,"Yes",$C$6:C882,"School"),"")</f>
        <v/>
      </c>
    </row>
    <row r="883" spans="1:8">
      <c r="A883" s="13"/>
      <c r="B883" s="1" t="s">
        <v>1720</v>
      </c>
      <c r="C883" s="1" t="s">
        <v>24</v>
      </c>
      <c r="D883" s="1" t="s">
        <v>1778</v>
      </c>
      <c r="E883" s="1" t="s">
        <v>1779</v>
      </c>
      <c r="F883" s="2">
        <v>90</v>
      </c>
      <c r="G883" s="3">
        <v>70</v>
      </c>
      <c r="H883" s="4" t="str">
        <f>IF(AND(A883="Yes",C883="School"),COUNTIFS($A$6:A883,"Yes",$C$6:C883,"School"),"")</f>
        <v/>
      </c>
    </row>
    <row r="884" spans="1:8">
      <c r="A884" s="13"/>
      <c r="B884" s="1" t="s">
        <v>1720</v>
      </c>
      <c r="C884" s="1" t="s">
        <v>24</v>
      </c>
      <c r="D884" s="1" t="s">
        <v>1780</v>
      </c>
      <c r="E884" s="1" t="s">
        <v>1781</v>
      </c>
      <c r="F884" s="2">
        <v>405</v>
      </c>
      <c r="G884" s="3">
        <v>53.8</v>
      </c>
      <c r="H884" s="4" t="str">
        <f>IF(AND(A884="Yes",C884="School"),COUNTIFS($A$6:A884,"Yes",$C$6:C884,"School"),"")</f>
        <v/>
      </c>
    </row>
    <row r="885" spans="1:8">
      <c r="A885" s="13"/>
      <c r="B885" s="1" t="s">
        <v>1720</v>
      </c>
      <c r="C885" s="1" t="s">
        <v>24</v>
      </c>
      <c r="D885" s="1" t="s">
        <v>1782</v>
      </c>
      <c r="E885" s="1" t="s">
        <v>1783</v>
      </c>
      <c r="F885" s="2">
        <v>527</v>
      </c>
      <c r="G885" s="3">
        <v>52.9</v>
      </c>
      <c r="H885" s="4" t="str">
        <f>IF(AND(A885="Yes",C885="School"),COUNTIFS($A$6:A885,"Yes",$C$6:C885,"School"),"")</f>
        <v/>
      </c>
    </row>
    <row r="886" spans="1:8">
      <c r="A886" s="13"/>
      <c r="B886" s="1" t="s">
        <v>1720</v>
      </c>
      <c r="C886" s="1" t="s">
        <v>24</v>
      </c>
      <c r="D886" s="1" t="s">
        <v>1784</v>
      </c>
      <c r="E886" s="1" t="s">
        <v>1785</v>
      </c>
      <c r="F886" s="2">
        <v>691</v>
      </c>
      <c r="G886" s="3">
        <v>51.8</v>
      </c>
      <c r="H886" s="4" t="str">
        <f>IF(AND(A886="Yes",C886="School"),COUNTIFS($A$6:A886,"Yes",$C$6:C886,"School"),"")</f>
        <v/>
      </c>
    </row>
    <row r="887" spans="1:8">
      <c r="A887" s="13"/>
      <c r="B887" s="1" t="s">
        <v>1720</v>
      </c>
      <c r="C887" s="1" t="s">
        <v>24</v>
      </c>
      <c r="D887" s="1" t="s">
        <v>1786</v>
      </c>
      <c r="E887" s="1" t="s">
        <v>1787</v>
      </c>
      <c r="F887" s="2">
        <v>618</v>
      </c>
      <c r="G887" s="3">
        <v>57.9</v>
      </c>
      <c r="H887" s="4" t="str">
        <f>IF(AND(A887="Yes",C887="School"),COUNTIFS($A$6:A887,"Yes",$C$6:C887,"School"),"")</f>
        <v/>
      </c>
    </row>
    <row r="888" spans="1:8">
      <c r="A888" s="13"/>
      <c r="B888" s="1" t="s">
        <v>1720</v>
      </c>
      <c r="C888" s="1" t="s">
        <v>24</v>
      </c>
      <c r="D888" s="1" t="s">
        <v>1788</v>
      </c>
      <c r="E888" s="1" t="s">
        <v>1789</v>
      </c>
      <c r="F888" s="2">
        <v>634</v>
      </c>
      <c r="G888" s="3">
        <v>44.3</v>
      </c>
      <c r="H888" s="4" t="str">
        <f>IF(AND(A888="Yes",C888="School"),COUNTIFS($A$6:A888,"Yes",$C$6:C888,"School"),"")</f>
        <v/>
      </c>
    </row>
    <row r="889" spans="1:8">
      <c r="A889" s="13"/>
      <c r="B889" s="1" t="s">
        <v>1720</v>
      </c>
      <c r="C889" s="1" t="s">
        <v>24</v>
      </c>
      <c r="D889" s="1" t="s">
        <v>1790</v>
      </c>
      <c r="E889" s="1" t="s">
        <v>1791</v>
      </c>
      <c r="F889" s="2">
        <v>147</v>
      </c>
      <c r="G889" s="3">
        <v>44.9</v>
      </c>
      <c r="H889" s="4" t="str">
        <f>IF(AND(A889="Yes",C889="School"),COUNTIFS($A$6:A889,"Yes",$C$6:C889,"School"),"")</f>
        <v/>
      </c>
    </row>
    <row r="890" spans="1:8">
      <c r="A890" s="13"/>
      <c r="B890" s="1" t="s">
        <v>1792</v>
      </c>
      <c r="C890" s="1" t="s">
        <v>40</v>
      </c>
      <c r="D890" s="1" t="s">
        <v>41</v>
      </c>
      <c r="E890" s="1" t="s">
        <v>1793</v>
      </c>
      <c r="F890" s="2">
        <v>5925</v>
      </c>
      <c r="G890" s="3">
        <v>53.7</v>
      </c>
      <c r="H890" s="4" t="str">
        <f>IF(AND(A890="Yes",C890="School"),COUNTIFS($A$6:A890,"Yes",$C$6:C890,"School"),"")</f>
        <v/>
      </c>
    </row>
    <row r="891" spans="1:8">
      <c r="A891" s="13"/>
      <c r="B891" s="1" t="s">
        <v>1792</v>
      </c>
      <c r="C891" s="1" t="s">
        <v>24</v>
      </c>
      <c r="D891" s="1" t="s">
        <v>1794</v>
      </c>
      <c r="E891" s="1" t="s">
        <v>1795</v>
      </c>
      <c r="F891" s="2">
        <v>18</v>
      </c>
      <c r="G891" s="3">
        <v>83.3</v>
      </c>
      <c r="H891" s="4" t="str">
        <f>IF(AND(A891="Yes",C891="School"),COUNTIFS($A$6:A891,"Yes",$C$6:C891,"School"),"")</f>
        <v/>
      </c>
    </row>
    <row r="892" spans="1:8">
      <c r="A892" s="13"/>
      <c r="B892" s="1" t="s">
        <v>1792</v>
      </c>
      <c r="C892" s="1" t="s">
        <v>24</v>
      </c>
      <c r="D892" s="1" t="s">
        <v>1796</v>
      </c>
      <c r="E892" s="1" t="s">
        <v>1797</v>
      </c>
      <c r="F892" s="2">
        <v>428</v>
      </c>
      <c r="G892" s="3">
        <v>79</v>
      </c>
      <c r="H892" s="4" t="str">
        <f>IF(AND(A892="Yes",C892="School"),COUNTIFS($A$6:A892,"Yes",$C$6:C892,"School"),"")</f>
        <v/>
      </c>
    </row>
    <row r="893" spans="1:8">
      <c r="A893" s="13"/>
      <c r="B893" s="1" t="s">
        <v>1792</v>
      </c>
      <c r="C893" s="1" t="s">
        <v>24</v>
      </c>
      <c r="D893" s="1" t="s">
        <v>1798</v>
      </c>
      <c r="E893" s="1" t="s">
        <v>1799</v>
      </c>
      <c r="F893" s="2">
        <v>415</v>
      </c>
      <c r="G893" s="3">
        <v>62.9</v>
      </c>
      <c r="H893" s="4" t="str">
        <f>IF(AND(A893="Yes",C893="School"),COUNTIFS($A$6:A893,"Yes",$C$6:C893,"School"),"")</f>
        <v/>
      </c>
    </row>
    <row r="894" spans="1:8">
      <c r="A894" s="13"/>
      <c r="B894" s="1" t="s">
        <v>1792</v>
      </c>
      <c r="C894" s="1" t="s">
        <v>24</v>
      </c>
      <c r="D894" s="1" t="s">
        <v>1800</v>
      </c>
      <c r="E894" s="1" t="s">
        <v>1801</v>
      </c>
      <c r="F894" s="2">
        <v>139</v>
      </c>
      <c r="G894" s="3">
        <v>55.4</v>
      </c>
      <c r="H894" s="4" t="str">
        <f>IF(AND(A894="Yes",C894="School"),COUNTIFS($A$6:A894,"Yes",$C$6:C894,"School"),"")</f>
        <v/>
      </c>
    </row>
    <row r="895" spans="1:8">
      <c r="A895" s="13"/>
      <c r="B895" s="1" t="s">
        <v>1792</v>
      </c>
      <c r="C895" s="1" t="s">
        <v>24</v>
      </c>
      <c r="D895" s="1" t="s">
        <v>1802</v>
      </c>
      <c r="E895" s="1" t="s">
        <v>1803</v>
      </c>
      <c r="F895" s="2">
        <v>1608</v>
      </c>
      <c r="G895" s="3">
        <v>45.3</v>
      </c>
      <c r="H895" s="4" t="str">
        <f>IF(AND(A895="Yes",C895="School"),COUNTIFS($A$6:A895,"Yes",$C$6:C895,"School"),"")</f>
        <v/>
      </c>
    </row>
    <row r="896" spans="1:8">
      <c r="A896" s="13"/>
      <c r="B896" s="1" t="s">
        <v>1792</v>
      </c>
      <c r="C896" s="1" t="s">
        <v>24</v>
      </c>
      <c r="D896" s="1" t="s">
        <v>1804</v>
      </c>
      <c r="E896" s="1" t="s">
        <v>1805</v>
      </c>
      <c r="F896" s="2">
        <v>543</v>
      </c>
      <c r="G896" s="3">
        <v>70</v>
      </c>
      <c r="H896" s="4" t="str">
        <f>IF(AND(A896="Yes",C896="School"),COUNTIFS($A$6:A896,"Yes",$C$6:C896,"School"),"")</f>
        <v/>
      </c>
    </row>
    <row r="897" spans="1:8">
      <c r="A897" s="13"/>
      <c r="B897" s="1" t="s">
        <v>1792</v>
      </c>
      <c r="C897" s="1" t="s">
        <v>24</v>
      </c>
      <c r="D897" s="1" t="s">
        <v>1806</v>
      </c>
      <c r="E897" s="1" t="s">
        <v>1807</v>
      </c>
      <c r="F897" s="2">
        <v>450</v>
      </c>
      <c r="G897" s="3">
        <v>47.3</v>
      </c>
      <c r="H897" s="4" t="str">
        <f>IF(AND(A897="Yes",C897="School"),COUNTIFS($A$6:A897,"Yes",$C$6:C897,"School"),"")</f>
        <v/>
      </c>
    </row>
    <row r="898" spans="1:8">
      <c r="A898" s="13"/>
      <c r="B898" s="1" t="s">
        <v>1792</v>
      </c>
      <c r="C898" s="1" t="s">
        <v>24</v>
      </c>
      <c r="D898" s="1" t="s">
        <v>1808</v>
      </c>
      <c r="E898" s="1" t="s">
        <v>1809</v>
      </c>
      <c r="F898" s="2">
        <v>459</v>
      </c>
      <c r="G898" s="3">
        <v>54.9</v>
      </c>
      <c r="H898" s="4" t="str">
        <f>IF(AND(A898="Yes",C898="School"),COUNTIFS($A$6:A898,"Yes",$C$6:C898,"School"),"")</f>
        <v/>
      </c>
    </row>
    <row r="899" spans="1:8">
      <c r="A899" s="13"/>
      <c r="B899" s="1" t="s">
        <v>1792</v>
      </c>
      <c r="C899" s="1" t="s">
        <v>24</v>
      </c>
      <c r="D899" s="1" t="s">
        <v>1810</v>
      </c>
      <c r="E899" s="1" t="s">
        <v>1811</v>
      </c>
      <c r="F899" s="2">
        <v>505</v>
      </c>
      <c r="G899" s="3">
        <v>25.5</v>
      </c>
      <c r="H899" s="4" t="str">
        <f>IF(AND(A899="Yes",C899="School"),COUNTIFS($A$6:A899,"Yes",$C$6:C899,"School"),"")</f>
        <v/>
      </c>
    </row>
    <row r="900" spans="1:8">
      <c r="A900" s="13"/>
      <c r="B900" s="1" t="s">
        <v>1792</v>
      </c>
      <c r="C900" s="1" t="s">
        <v>24</v>
      </c>
      <c r="D900" s="1" t="s">
        <v>1812</v>
      </c>
      <c r="E900" s="1" t="s">
        <v>1813</v>
      </c>
      <c r="F900" s="2">
        <v>524</v>
      </c>
      <c r="G900" s="3">
        <v>72.7</v>
      </c>
      <c r="H900" s="4" t="str">
        <f>IF(AND(A900="Yes",C900="School"),COUNTIFS($A$6:A900,"Yes",$C$6:C900,"School"),"")</f>
        <v/>
      </c>
    </row>
    <row r="901" spans="1:8">
      <c r="A901" s="13"/>
      <c r="B901" s="1" t="s">
        <v>1792</v>
      </c>
      <c r="C901" s="1" t="s">
        <v>24</v>
      </c>
      <c r="D901" s="1" t="s">
        <v>1814</v>
      </c>
      <c r="E901" s="1" t="s">
        <v>1815</v>
      </c>
      <c r="F901" s="2">
        <v>458</v>
      </c>
      <c r="G901" s="3">
        <v>41.3</v>
      </c>
      <c r="H901" s="4" t="str">
        <f>IF(AND(A901="Yes",C901="School"),COUNTIFS($A$6:A901,"Yes",$C$6:C901,"School"),"")</f>
        <v/>
      </c>
    </row>
    <row r="902" spans="1:8">
      <c r="A902" s="13"/>
      <c r="B902" s="1" t="s">
        <v>1792</v>
      </c>
      <c r="C902" s="1" t="s">
        <v>24</v>
      </c>
      <c r="D902" s="1" t="s">
        <v>1816</v>
      </c>
      <c r="E902" s="1" t="s">
        <v>1817</v>
      </c>
      <c r="F902" s="2">
        <v>378</v>
      </c>
      <c r="G902" s="3">
        <v>58.2</v>
      </c>
      <c r="H902" s="4" t="str">
        <f>IF(AND(A902="Yes",C902="School"),COUNTIFS($A$6:A902,"Yes",$C$6:C902,"School"),"")</f>
        <v/>
      </c>
    </row>
    <row r="903" spans="1:8">
      <c r="A903" s="13"/>
      <c r="B903" s="1" t="s">
        <v>1818</v>
      </c>
      <c r="C903" s="1" t="s">
        <v>24</v>
      </c>
      <c r="D903" s="1" t="s">
        <v>1818</v>
      </c>
      <c r="E903" s="1" t="s">
        <v>1819</v>
      </c>
      <c r="F903" s="2">
        <v>230</v>
      </c>
      <c r="G903" s="3">
        <v>83.9</v>
      </c>
      <c r="H903" s="4" t="str">
        <f>IF(AND(A903="Yes",C903="School"),COUNTIFS($A$6:A903,"Yes",$C$6:C903,"School"),"")</f>
        <v/>
      </c>
    </row>
    <row r="904" spans="1:8">
      <c r="A904" s="13"/>
      <c r="B904" s="1" t="s">
        <v>1820</v>
      </c>
      <c r="C904" s="1" t="s">
        <v>24</v>
      </c>
      <c r="D904" s="1" t="s">
        <v>1820</v>
      </c>
      <c r="E904" s="1" t="s">
        <v>1821</v>
      </c>
      <c r="F904" s="2">
        <v>504</v>
      </c>
      <c r="G904" s="3">
        <v>40.5</v>
      </c>
      <c r="H904" s="4" t="str">
        <f>IF(AND(A904="Yes",C904="School"),COUNTIFS($A$6:A904,"Yes",$C$6:C904,"School"),"")</f>
        <v/>
      </c>
    </row>
    <row r="905" spans="1:8">
      <c r="A905" s="13"/>
      <c r="B905" s="1" t="s">
        <v>1822</v>
      </c>
      <c r="C905" s="1" t="s">
        <v>24</v>
      </c>
      <c r="D905" s="1" t="s">
        <v>1822</v>
      </c>
      <c r="E905" s="1" t="s">
        <v>1823</v>
      </c>
      <c r="F905" s="2">
        <v>623</v>
      </c>
      <c r="G905" s="3">
        <v>45.9</v>
      </c>
      <c r="H905" s="4" t="str">
        <f>IF(AND(A905="Yes",C905="School"),COUNTIFS($A$6:A905,"Yes",$C$6:C905,"School"),"")</f>
        <v/>
      </c>
    </row>
    <row r="906" spans="1:8">
      <c r="A906" s="13"/>
      <c r="B906" s="1" t="s">
        <v>1824</v>
      </c>
      <c r="C906" s="1" t="s">
        <v>40</v>
      </c>
      <c r="D906" s="1" t="s">
        <v>41</v>
      </c>
      <c r="E906" s="1" t="s">
        <v>1825</v>
      </c>
      <c r="F906" s="2">
        <v>9679</v>
      </c>
      <c r="G906" s="3">
        <v>65.3</v>
      </c>
      <c r="H906" s="4" t="str">
        <f>IF(AND(A906="Yes",C906="School"),COUNTIFS($A$6:A906,"Yes",$C$6:C906,"School"),"")</f>
        <v/>
      </c>
    </row>
    <row r="907" spans="1:8">
      <c r="A907" s="13"/>
      <c r="B907" s="1" t="s">
        <v>1824</v>
      </c>
      <c r="C907" s="1" t="s">
        <v>24</v>
      </c>
      <c r="D907" s="1" t="s">
        <v>1826</v>
      </c>
      <c r="E907" s="1" t="s">
        <v>1827</v>
      </c>
      <c r="F907" s="2">
        <v>876</v>
      </c>
      <c r="G907" s="3">
        <v>68.5</v>
      </c>
      <c r="H907" s="4" t="str">
        <f>IF(AND(A907="Yes",C907="School"),COUNTIFS($A$6:A907,"Yes",$C$6:C907,"School"),"")</f>
        <v/>
      </c>
    </row>
    <row r="908" spans="1:8">
      <c r="A908" s="13"/>
      <c r="B908" s="1" t="s">
        <v>1824</v>
      </c>
      <c r="C908" s="1" t="s">
        <v>24</v>
      </c>
      <c r="D908" s="1" t="s">
        <v>1828</v>
      </c>
      <c r="E908" s="1" t="s">
        <v>1829</v>
      </c>
      <c r="F908" s="2">
        <v>898</v>
      </c>
      <c r="G908" s="3">
        <v>60.2</v>
      </c>
      <c r="H908" s="4" t="str">
        <f>IF(AND(A908="Yes",C908="School"),COUNTIFS($A$6:A908,"Yes",$C$6:C908,"School"),"")</f>
        <v/>
      </c>
    </row>
    <row r="909" spans="1:8">
      <c r="A909" s="13"/>
      <c r="B909" s="1" t="s">
        <v>1824</v>
      </c>
      <c r="C909" s="1" t="s">
        <v>24</v>
      </c>
      <c r="D909" s="1" t="s">
        <v>1830</v>
      </c>
      <c r="E909" s="1" t="s">
        <v>1831</v>
      </c>
      <c r="F909" s="2">
        <v>566</v>
      </c>
      <c r="G909" s="3">
        <v>56</v>
      </c>
      <c r="H909" s="4" t="str">
        <f>IF(AND(A909="Yes",C909="School"),COUNTIFS($A$6:A909,"Yes",$C$6:C909,"School"),"")</f>
        <v/>
      </c>
    </row>
    <row r="910" spans="1:8">
      <c r="A910" s="13"/>
      <c r="B910" s="1" t="s">
        <v>1824</v>
      </c>
      <c r="C910" s="1" t="s">
        <v>24</v>
      </c>
      <c r="D910" s="1" t="s">
        <v>1832</v>
      </c>
      <c r="E910" s="1" t="s">
        <v>1833</v>
      </c>
      <c r="F910" s="2">
        <v>193</v>
      </c>
      <c r="G910" s="3">
        <v>60.1</v>
      </c>
      <c r="H910" s="4" t="str">
        <f>IF(AND(A910="Yes",C910="School"),COUNTIFS($A$6:A910,"Yes",$C$6:C910,"School"),"")</f>
        <v/>
      </c>
    </row>
    <row r="911" spans="1:8">
      <c r="A911" s="13"/>
      <c r="B911" s="1" t="s">
        <v>1824</v>
      </c>
      <c r="C911" s="1" t="s">
        <v>24</v>
      </c>
      <c r="D911" s="1" t="s">
        <v>1834</v>
      </c>
      <c r="E911" s="1" t="s">
        <v>1835</v>
      </c>
      <c r="F911" s="2">
        <v>804</v>
      </c>
      <c r="G911" s="3">
        <v>55.7</v>
      </c>
      <c r="H911" s="4" t="str">
        <f>IF(AND(A911="Yes",C911="School"),COUNTIFS($A$6:A911,"Yes",$C$6:C911,"School"),"")</f>
        <v/>
      </c>
    </row>
    <row r="912" spans="1:8">
      <c r="A912" s="13"/>
      <c r="B912" s="1" t="s">
        <v>1824</v>
      </c>
      <c r="C912" s="1" t="s">
        <v>24</v>
      </c>
      <c r="D912" s="1" t="s">
        <v>1836</v>
      </c>
      <c r="E912" s="1" t="s">
        <v>1837</v>
      </c>
      <c r="F912" s="2">
        <v>675</v>
      </c>
      <c r="G912" s="3">
        <v>67.599999999999994</v>
      </c>
      <c r="H912" s="4" t="str">
        <f>IF(AND(A912="Yes",C912="School"),COUNTIFS($A$6:A912,"Yes",$C$6:C912,"School"),"")</f>
        <v/>
      </c>
    </row>
    <row r="913" spans="1:8">
      <c r="A913" s="13"/>
      <c r="B913" s="1" t="s">
        <v>1824</v>
      </c>
      <c r="C913" s="1" t="s">
        <v>24</v>
      </c>
      <c r="D913" s="1" t="s">
        <v>1838</v>
      </c>
      <c r="E913" s="1" t="s">
        <v>1839</v>
      </c>
      <c r="F913" s="2">
        <v>580</v>
      </c>
      <c r="G913" s="3">
        <v>67.8</v>
      </c>
      <c r="H913" s="4" t="str">
        <f>IF(AND(A913="Yes",C913="School"),COUNTIFS($A$6:A913,"Yes",$C$6:C913,"School"),"")</f>
        <v/>
      </c>
    </row>
    <row r="914" spans="1:8">
      <c r="A914" s="13"/>
      <c r="B914" s="1" t="s">
        <v>1824</v>
      </c>
      <c r="C914" s="1" t="s">
        <v>24</v>
      </c>
      <c r="D914" s="1" t="s">
        <v>1840</v>
      </c>
      <c r="E914" s="1" t="s">
        <v>1841</v>
      </c>
      <c r="F914" s="2">
        <v>749</v>
      </c>
      <c r="G914" s="3">
        <v>59.9</v>
      </c>
      <c r="H914" s="4" t="str">
        <f>IF(AND(A914="Yes",C914="School"),COUNTIFS($A$6:A914,"Yes",$C$6:C914,"School"),"")</f>
        <v/>
      </c>
    </row>
    <row r="915" spans="1:8">
      <c r="A915" s="13"/>
      <c r="B915" s="1" t="s">
        <v>1824</v>
      </c>
      <c r="C915" s="1" t="s">
        <v>24</v>
      </c>
      <c r="D915" s="1" t="s">
        <v>1842</v>
      </c>
      <c r="E915" s="1" t="s">
        <v>1843</v>
      </c>
      <c r="F915" s="2">
        <v>591</v>
      </c>
      <c r="G915" s="3">
        <v>54.5</v>
      </c>
      <c r="H915" s="4" t="str">
        <f>IF(AND(A915="Yes",C915="School"),COUNTIFS($A$6:A915,"Yes",$C$6:C915,"School"),"")</f>
        <v/>
      </c>
    </row>
    <row r="916" spans="1:8">
      <c r="A916" s="13"/>
      <c r="B916" s="1" t="s">
        <v>1824</v>
      </c>
      <c r="C916" s="1" t="s">
        <v>24</v>
      </c>
      <c r="D916" s="1" t="s">
        <v>1844</v>
      </c>
      <c r="E916" s="1" t="s">
        <v>1845</v>
      </c>
      <c r="F916" s="2">
        <v>1120</v>
      </c>
      <c r="G916" s="3">
        <v>73</v>
      </c>
      <c r="H916" s="4" t="str">
        <f>IF(AND(A916="Yes",C916="School"),COUNTIFS($A$6:A916,"Yes",$C$6:C916,"School"),"")</f>
        <v/>
      </c>
    </row>
    <row r="917" spans="1:8">
      <c r="A917" s="13"/>
      <c r="B917" s="1" t="s">
        <v>1824</v>
      </c>
      <c r="C917" s="1" t="s">
        <v>24</v>
      </c>
      <c r="D917" s="1" t="s">
        <v>1846</v>
      </c>
      <c r="E917" s="1" t="s">
        <v>1847</v>
      </c>
      <c r="F917" s="2">
        <v>1123</v>
      </c>
      <c r="G917" s="3">
        <v>71.5</v>
      </c>
      <c r="H917" s="4" t="str">
        <f>IF(AND(A917="Yes",C917="School"),COUNTIFS($A$6:A917,"Yes",$C$6:C917,"School"),"")</f>
        <v/>
      </c>
    </row>
    <row r="918" spans="1:8">
      <c r="A918" s="13"/>
      <c r="B918" s="1" t="s">
        <v>1824</v>
      </c>
      <c r="C918" s="1" t="s">
        <v>24</v>
      </c>
      <c r="D918" s="1" t="s">
        <v>1848</v>
      </c>
      <c r="E918" s="1" t="s">
        <v>1849</v>
      </c>
      <c r="F918" s="2">
        <v>659</v>
      </c>
      <c r="G918" s="3">
        <v>59.9</v>
      </c>
      <c r="H918" s="4" t="str">
        <f>IF(AND(A918="Yes",C918="School"),COUNTIFS($A$6:A918,"Yes",$C$6:C918,"School"),"")</f>
        <v/>
      </c>
    </row>
    <row r="919" spans="1:8">
      <c r="A919" s="13"/>
      <c r="B919" s="1" t="s">
        <v>1824</v>
      </c>
      <c r="C919" s="1" t="s">
        <v>24</v>
      </c>
      <c r="D919" s="1" t="s">
        <v>1850</v>
      </c>
      <c r="E919" s="1" t="s">
        <v>1851</v>
      </c>
      <c r="F919" s="2">
        <v>845</v>
      </c>
      <c r="G919" s="3">
        <v>78.8</v>
      </c>
      <c r="H919" s="4" t="str">
        <f>IF(AND(A919="Yes",C919="School"),COUNTIFS($A$6:A919,"Yes",$C$6:C919,"School"),"")</f>
        <v/>
      </c>
    </row>
    <row r="920" spans="1:8">
      <c r="A920" s="13"/>
      <c r="B920" s="1" t="s">
        <v>1852</v>
      </c>
      <c r="C920" s="1" t="s">
        <v>24</v>
      </c>
      <c r="D920" s="1" t="s">
        <v>1852</v>
      </c>
      <c r="E920" s="1" t="s">
        <v>1853</v>
      </c>
      <c r="F920" s="2">
        <v>1150</v>
      </c>
      <c r="G920" s="3">
        <v>63.7</v>
      </c>
      <c r="H920" s="4" t="str">
        <f>IF(AND(A920="Yes",C920="School"),COUNTIFS($A$6:A920,"Yes",$C$6:C920,"School"),"")</f>
        <v/>
      </c>
    </row>
    <row r="921" spans="1:8">
      <c r="A921" s="13"/>
      <c r="B921" s="1" t="s">
        <v>1854</v>
      </c>
      <c r="C921" s="1" t="s">
        <v>40</v>
      </c>
      <c r="D921" s="1" t="s">
        <v>41</v>
      </c>
      <c r="E921" s="1" t="s">
        <v>1855</v>
      </c>
      <c r="F921" s="2">
        <v>30824</v>
      </c>
      <c r="G921" s="3">
        <v>47.3</v>
      </c>
      <c r="H921" s="4" t="str">
        <f>IF(AND(A921="Yes",C921="School"),COUNTIFS($A$6:A921,"Yes",$C$6:C921,"School"),"")</f>
        <v/>
      </c>
    </row>
    <row r="922" spans="1:8">
      <c r="A922" s="13"/>
      <c r="B922" s="1" t="s">
        <v>1854</v>
      </c>
      <c r="C922" s="1" t="s">
        <v>24</v>
      </c>
      <c r="D922" s="1" t="s">
        <v>1856</v>
      </c>
      <c r="E922" s="1" t="s">
        <v>1857</v>
      </c>
      <c r="F922" s="2">
        <v>385</v>
      </c>
      <c r="G922" s="3">
        <v>63.1</v>
      </c>
      <c r="H922" s="4" t="str">
        <f>IF(AND(A922="Yes",C922="School"),COUNTIFS($A$6:A922,"Yes",$C$6:C922,"School"),"")</f>
        <v/>
      </c>
    </row>
    <row r="923" spans="1:8">
      <c r="A923" s="13"/>
      <c r="B923" s="1" t="s">
        <v>1854</v>
      </c>
      <c r="C923" s="1" t="s">
        <v>24</v>
      </c>
      <c r="D923" s="1" t="s">
        <v>1858</v>
      </c>
      <c r="E923" s="1" t="s">
        <v>1859</v>
      </c>
      <c r="F923" s="2">
        <v>706</v>
      </c>
      <c r="G923" s="3">
        <v>52.7</v>
      </c>
      <c r="H923" s="4" t="str">
        <f>IF(AND(A923="Yes",C923="School"),COUNTIFS($A$6:A923,"Yes",$C$6:C923,"School"),"")</f>
        <v/>
      </c>
    </row>
    <row r="924" spans="1:8">
      <c r="A924" s="13"/>
      <c r="B924" s="1" t="s">
        <v>1854</v>
      </c>
      <c r="C924" s="1" t="s">
        <v>24</v>
      </c>
      <c r="D924" s="1" t="s">
        <v>1860</v>
      </c>
      <c r="E924" s="1" t="s">
        <v>1861</v>
      </c>
      <c r="F924" s="2">
        <v>268</v>
      </c>
      <c r="G924" s="3">
        <v>58.6</v>
      </c>
      <c r="H924" s="4" t="str">
        <f>IF(AND(A924="Yes",C924="School"),COUNTIFS($A$6:A924,"Yes",$C$6:C924,"School"),"")</f>
        <v/>
      </c>
    </row>
    <row r="925" spans="1:8">
      <c r="A925" s="13"/>
      <c r="B925" s="1" t="s">
        <v>1854</v>
      </c>
      <c r="C925" s="1" t="s">
        <v>24</v>
      </c>
      <c r="D925" s="1" t="s">
        <v>1862</v>
      </c>
      <c r="E925" s="1" t="s">
        <v>1863</v>
      </c>
      <c r="F925" s="2">
        <v>248</v>
      </c>
      <c r="G925" s="3">
        <v>68.5</v>
      </c>
      <c r="H925" s="4" t="str">
        <f>IF(AND(A925="Yes",C925="School"),COUNTIFS($A$6:A925,"Yes",$C$6:C925,"School"),"")</f>
        <v/>
      </c>
    </row>
    <row r="926" spans="1:8">
      <c r="A926" s="13"/>
      <c r="B926" s="1" t="s">
        <v>1854</v>
      </c>
      <c r="C926" s="1" t="s">
        <v>24</v>
      </c>
      <c r="D926" s="1" t="s">
        <v>1864</v>
      </c>
      <c r="E926" s="1" t="s">
        <v>1865</v>
      </c>
      <c r="F926" s="2">
        <v>2100</v>
      </c>
      <c r="G926" s="3">
        <v>37.1</v>
      </c>
      <c r="H926" s="4" t="str">
        <f>IF(AND(A926="Yes",C926="School"),COUNTIFS($A$6:A926,"Yes",$C$6:C926,"School"),"")</f>
        <v/>
      </c>
    </row>
    <row r="927" spans="1:8">
      <c r="A927" s="13"/>
      <c r="B927" s="1" t="s">
        <v>1854</v>
      </c>
      <c r="C927" s="1" t="s">
        <v>24</v>
      </c>
      <c r="D927" s="1" t="s">
        <v>1866</v>
      </c>
      <c r="E927" s="1" t="s">
        <v>1867</v>
      </c>
      <c r="F927" s="2">
        <v>322</v>
      </c>
      <c r="G927" s="3">
        <v>45</v>
      </c>
      <c r="H927" s="4" t="str">
        <f>IF(AND(A927="Yes",C927="School"),COUNTIFS($A$6:A927,"Yes",$C$6:C927,"School"),"")</f>
        <v/>
      </c>
    </row>
    <row r="928" spans="1:8">
      <c r="A928" s="13"/>
      <c r="B928" s="1" t="s">
        <v>1854</v>
      </c>
      <c r="C928" s="1" t="s">
        <v>24</v>
      </c>
      <c r="D928" s="1" t="s">
        <v>1868</v>
      </c>
      <c r="E928" s="1" t="s">
        <v>1869</v>
      </c>
      <c r="F928" s="2">
        <v>373</v>
      </c>
      <c r="G928" s="3">
        <v>45.3</v>
      </c>
      <c r="H928" s="4" t="str">
        <f>IF(AND(A928="Yes",C928="School"),COUNTIFS($A$6:A928,"Yes",$C$6:C928,"School"),"")</f>
        <v/>
      </c>
    </row>
    <row r="929" spans="1:8">
      <c r="A929" s="13"/>
      <c r="B929" s="1" t="s">
        <v>1854</v>
      </c>
      <c r="C929" s="1" t="s">
        <v>24</v>
      </c>
      <c r="D929" s="1" t="s">
        <v>1454</v>
      </c>
      <c r="E929" s="1" t="s">
        <v>1870</v>
      </c>
      <c r="F929" s="2">
        <v>536</v>
      </c>
      <c r="G929" s="3">
        <v>40.1</v>
      </c>
      <c r="H929" s="4" t="str">
        <f>IF(AND(A929="Yes",C929="School"),COUNTIFS($A$6:A929,"Yes",$C$6:C929,"School"),"")</f>
        <v/>
      </c>
    </row>
    <row r="930" spans="1:8">
      <c r="A930" s="13"/>
      <c r="B930" s="1" t="s">
        <v>1854</v>
      </c>
      <c r="C930" s="1" t="s">
        <v>24</v>
      </c>
      <c r="D930" s="1" t="s">
        <v>1871</v>
      </c>
      <c r="E930" s="1" t="s">
        <v>1872</v>
      </c>
      <c r="F930" s="2">
        <v>160</v>
      </c>
      <c r="G930" s="3">
        <v>38.1</v>
      </c>
      <c r="H930" s="4" t="str">
        <f>IF(AND(A930="Yes",C930="School"),COUNTIFS($A$6:A930,"Yes",$C$6:C930,"School"),"")</f>
        <v/>
      </c>
    </row>
    <row r="931" spans="1:8">
      <c r="A931" s="13"/>
      <c r="B931" s="1" t="s">
        <v>1854</v>
      </c>
      <c r="C931" s="1" t="s">
        <v>24</v>
      </c>
      <c r="D931" s="1" t="s">
        <v>1873</v>
      </c>
      <c r="E931" s="1" t="s">
        <v>1874</v>
      </c>
      <c r="F931" s="2">
        <v>213</v>
      </c>
      <c r="G931" s="3">
        <v>42.7</v>
      </c>
      <c r="H931" s="4" t="str">
        <f>IF(AND(A931="Yes",C931="School"),COUNTIFS($A$6:A931,"Yes",$C$6:C931,"School"),"")</f>
        <v/>
      </c>
    </row>
    <row r="932" spans="1:8">
      <c r="A932" s="13"/>
      <c r="B932" s="1" t="s">
        <v>1854</v>
      </c>
      <c r="C932" s="1" t="s">
        <v>24</v>
      </c>
      <c r="D932" s="1" t="s">
        <v>1875</v>
      </c>
      <c r="E932" s="1" t="s">
        <v>1876</v>
      </c>
      <c r="F932" s="2">
        <v>1804</v>
      </c>
      <c r="G932" s="3">
        <v>29.8</v>
      </c>
      <c r="H932" s="4" t="str">
        <f>IF(AND(A932="Yes",C932="School"),COUNTIFS($A$6:A932,"Yes",$C$6:C932,"School"),"")</f>
        <v/>
      </c>
    </row>
    <row r="933" spans="1:8">
      <c r="A933" s="13"/>
      <c r="B933" s="1" t="s">
        <v>1854</v>
      </c>
      <c r="C933" s="1" t="s">
        <v>24</v>
      </c>
      <c r="D933" s="1" t="s">
        <v>1877</v>
      </c>
      <c r="E933" s="1" t="s">
        <v>1878</v>
      </c>
      <c r="F933" s="2">
        <v>118</v>
      </c>
      <c r="G933" s="3">
        <v>70.3</v>
      </c>
      <c r="H933" s="4" t="str">
        <f>IF(AND(A933="Yes",C933="School"),COUNTIFS($A$6:A933,"Yes",$C$6:C933,"School"),"")</f>
        <v/>
      </c>
    </row>
    <row r="934" spans="1:8">
      <c r="A934" s="13"/>
      <c r="B934" s="1" t="s">
        <v>1854</v>
      </c>
      <c r="C934" s="1" t="s">
        <v>24</v>
      </c>
      <c r="D934" s="1" t="s">
        <v>1879</v>
      </c>
      <c r="E934" s="1" t="s">
        <v>1880</v>
      </c>
      <c r="F934" s="2">
        <v>454</v>
      </c>
      <c r="G934" s="3">
        <v>37.700000000000003</v>
      </c>
      <c r="H934" s="4" t="str">
        <f>IF(AND(A934="Yes",C934="School"),COUNTIFS($A$6:A934,"Yes",$C$6:C934,"School"),"")</f>
        <v/>
      </c>
    </row>
    <row r="935" spans="1:8">
      <c r="A935" s="13"/>
      <c r="B935" s="1" t="s">
        <v>1854</v>
      </c>
      <c r="C935" s="1" t="s">
        <v>24</v>
      </c>
      <c r="D935" s="1" t="s">
        <v>1881</v>
      </c>
      <c r="E935" s="1" t="s">
        <v>1882</v>
      </c>
      <c r="F935" s="2">
        <v>511</v>
      </c>
      <c r="G935" s="3">
        <v>34.6</v>
      </c>
      <c r="H935" s="4" t="str">
        <f>IF(AND(A935="Yes",C935="School"),COUNTIFS($A$6:A935,"Yes",$C$6:C935,"School"),"")</f>
        <v/>
      </c>
    </row>
    <row r="936" spans="1:8">
      <c r="A936" s="13"/>
      <c r="B936" s="1" t="s">
        <v>1854</v>
      </c>
      <c r="C936" s="1" t="s">
        <v>24</v>
      </c>
      <c r="D936" s="1" t="s">
        <v>1883</v>
      </c>
      <c r="E936" s="1" t="s">
        <v>1884</v>
      </c>
      <c r="F936" s="2">
        <v>307</v>
      </c>
      <c r="G936" s="3">
        <v>66.400000000000006</v>
      </c>
      <c r="H936" s="4" t="str">
        <f>IF(AND(A936="Yes",C936="School"),COUNTIFS($A$6:A936,"Yes",$C$6:C936,"School"),"")</f>
        <v/>
      </c>
    </row>
    <row r="937" spans="1:8">
      <c r="A937" s="13"/>
      <c r="B937" s="1" t="s">
        <v>1854</v>
      </c>
      <c r="C937" s="1" t="s">
        <v>24</v>
      </c>
      <c r="D937" s="1" t="s">
        <v>1885</v>
      </c>
      <c r="E937" s="1" t="s">
        <v>1886</v>
      </c>
      <c r="F937" s="2">
        <v>396</v>
      </c>
      <c r="G937" s="3">
        <v>65.2</v>
      </c>
      <c r="H937" s="4" t="str">
        <f>IF(AND(A937="Yes",C937="School"),COUNTIFS($A$6:A937,"Yes",$C$6:C937,"School"),"")</f>
        <v/>
      </c>
    </row>
    <row r="938" spans="1:8">
      <c r="A938" s="13"/>
      <c r="B938" s="1" t="s">
        <v>1854</v>
      </c>
      <c r="C938" s="1" t="s">
        <v>24</v>
      </c>
      <c r="D938" s="1" t="s">
        <v>1887</v>
      </c>
      <c r="E938" s="1" t="s">
        <v>1888</v>
      </c>
      <c r="F938" s="2">
        <v>242</v>
      </c>
      <c r="G938" s="3">
        <v>65.7</v>
      </c>
      <c r="H938" s="4" t="str">
        <f>IF(AND(A938="Yes",C938="School"),COUNTIFS($A$6:A938,"Yes",$C$6:C938,"School"),"")</f>
        <v/>
      </c>
    </row>
    <row r="939" spans="1:8">
      <c r="A939" s="13"/>
      <c r="B939" s="1" t="s">
        <v>1854</v>
      </c>
      <c r="C939" s="1" t="s">
        <v>24</v>
      </c>
      <c r="D939" s="1" t="s">
        <v>1889</v>
      </c>
      <c r="E939" s="1" t="s">
        <v>1890</v>
      </c>
      <c r="F939" s="2">
        <v>627</v>
      </c>
      <c r="G939" s="3">
        <v>37.6</v>
      </c>
      <c r="H939" s="4" t="str">
        <f>IF(AND(A939="Yes",C939="School"),COUNTIFS($A$6:A939,"Yes",$C$6:C939,"School"),"")</f>
        <v/>
      </c>
    </row>
    <row r="940" spans="1:8">
      <c r="A940" s="13"/>
      <c r="B940" s="1" t="s">
        <v>1854</v>
      </c>
      <c r="C940" s="1" t="s">
        <v>24</v>
      </c>
      <c r="D940" s="1" t="s">
        <v>1891</v>
      </c>
      <c r="E940" s="1" t="s">
        <v>1892</v>
      </c>
      <c r="F940" s="2">
        <v>826</v>
      </c>
      <c r="G940" s="3">
        <v>51.3</v>
      </c>
      <c r="H940" s="4" t="str">
        <f>IF(AND(A940="Yes",C940="School"),COUNTIFS($A$6:A940,"Yes",$C$6:C940,"School"),"")</f>
        <v/>
      </c>
    </row>
    <row r="941" spans="1:8">
      <c r="A941" s="13"/>
      <c r="B941" s="1" t="s">
        <v>1854</v>
      </c>
      <c r="C941" s="1" t="s">
        <v>24</v>
      </c>
      <c r="D941" s="1" t="s">
        <v>1893</v>
      </c>
      <c r="E941" s="1" t="s">
        <v>1894</v>
      </c>
      <c r="F941" s="2">
        <v>363</v>
      </c>
      <c r="G941" s="3">
        <v>34.200000000000003</v>
      </c>
      <c r="H941" s="4" t="str">
        <f>IF(AND(A941="Yes",C941="School"),COUNTIFS($A$6:A941,"Yes",$C$6:C941,"School"),"")</f>
        <v/>
      </c>
    </row>
    <row r="942" spans="1:8">
      <c r="A942" s="13"/>
      <c r="B942" s="1" t="s">
        <v>1854</v>
      </c>
      <c r="C942" s="1" t="s">
        <v>24</v>
      </c>
      <c r="D942" s="1" t="s">
        <v>1895</v>
      </c>
      <c r="E942" s="1" t="s">
        <v>1896</v>
      </c>
      <c r="F942" s="2">
        <v>404</v>
      </c>
      <c r="G942" s="3">
        <v>59.7</v>
      </c>
      <c r="H942" s="4" t="str">
        <f>IF(AND(A942="Yes",C942="School"),COUNTIFS($A$6:A942,"Yes",$C$6:C942,"School"),"")</f>
        <v/>
      </c>
    </row>
    <row r="943" spans="1:8">
      <c r="A943" s="13"/>
      <c r="B943" s="1" t="s">
        <v>1854</v>
      </c>
      <c r="C943" s="1" t="s">
        <v>24</v>
      </c>
      <c r="D943" s="1" t="s">
        <v>1897</v>
      </c>
      <c r="E943" s="1" t="s">
        <v>1898</v>
      </c>
      <c r="F943" s="2">
        <v>574</v>
      </c>
      <c r="G943" s="3">
        <v>56.4</v>
      </c>
      <c r="H943" s="4" t="str">
        <f>IF(AND(A943="Yes",C943="School"),COUNTIFS($A$6:A943,"Yes",$C$6:C943,"School"),"")</f>
        <v/>
      </c>
    </row>
    <row r="944" spans="1:8">
      <c r="A944" s="13"/>
      <c r="B944" s="1" t="s">
        <v>1854</v>
      </c>
      <c r="C944" s="1" t="s">
        <v>24</v>
      </c>
      <c r="D944" s="1" t="s">
        <v>1899</v>
      </c>
      <c r="E944" s="1" t="s">
        <v>1900</v>
      </c>
      <c r="F944" s="2">
        <v>1225</v>
      </c>
      <c r="G944" s="3">
        <v>59.2</v>
      </c>
      <c r="H944" s="4" t="str">
        <f>IF(AND(A944="Yes",C944="School"),COUNTIFS($A$6:A944,"Yes",$C$6:C944,"School"),"")</f>
        <v/>
      </c>
    </row>
    <row r="945" spans="1:8">
      <c r="A945" s="13"/>
      <c r="B945" s="1" t="s">
        <v>1854</v>
      </c>
      <c r="C945" s="1" t="s">
        <v>24</v>
      </c>
      <c r="D945" s="1" t="s">
        <v>1901</v>
      </c>
      <c r="E945" s="1" t="s">
        <v>1902</v>
      </c>
      <c r="F945" s="2">
        <v>583</v>
      </c>
      <c r="G945" s="3">
        <v>52.8</v>
      </c>
      <c r="H945" s="4" t="str">
        <f>IF(AND(A945="Yes",C945="School"),COUNTIFS($A$6:A945,"Yes",$C$6:C945,"School"),"")</f>
        <v/>
      </c>
    </row>
    <row r="946" spans="1:8">
      <c r="A946" s="13"/>
      <c r="B946" s="1" t="s">
        <v>1854</v>
      </c>
      <c r="C946" s="1" t="s">
        <v>24</v>
      </c>
      <c r="D946" s="1" t="s">
        <v>1903</v>
      </c>
      <c r="E946" s="1" t="s">
        <v>1904</v>
      </c>
      <c r="F946" s="2">
        <v>570</v>
      </c>
      <c r="G946" s="3">
        <v>48.1</v>
      </c>
      <c r="H946" s="4" t="str">
        <f>IF(AND(A946="Yes",C946="School"),COUNTIFS($A$6:A946,"Yes",$C$6:C946,"School"),"")</f>
        <v/>
      </c>
    </row>
    <row r="947" spans="1:8">
      <c r="A947" s="13"/>
      <c r="B947" s="1" t="s">
        <v>1854</v>
      </c>
      <c r="C947" s="1" t="s">
        <v>24</v>
      </c>
      <c r="D947" s="1" t="s">
        <v>1905</v>
      </c>
      <c r="E947" s="1" t="s">
        <v>1906</v>
      </c>
      <c r="F947" s="2">
        <v>289</v>
      </c>
      <c r="G947" s="3">
        <v>57.4</v>
      </c>
      <c r="H947" s="4" t="str">
        <f>IF(AND(A947="Yes",C947="School"),COUNTIFS($A$6:A947,"Yes",$C$6:C947,"School"),"")</f>
        <v/>
      </c>
    </row>
    <row r="948" spans="1:8">
      <c r="A948" s="13"/>
      <c r="B948" s="1" t="s">
        <v>1854</v>
      </c>
      <c r="C948" s="1" t="s">
        <v>24</v>
      </c>
      <c r="D948" s="1" t="s">
        <v>1907</v>
      </c>
      <c r="E948" s="1" t="s">
        <v>1908</v>
      </c>
      <c r="F948" s="2">
        <v>357</v>
      </c>
      <c r="G948" s="3">
        <v>39.799999999999997</v>
      </c>
      <c r="H948" s="4" t="str">
        <f>IF(AND(A948="Yes",C948="School"),COUNTIFS($A$6:A948,"Yes",$C$6:C948,"School"),"")</f>
        <v/>
      </c>
    </row>
    <row r="949" spans="1:8">
      <c r="A949" s="13"/>
      <c r="B949" s="1" t="s">
        <v>1854</v>
      </c>
      <c r="C949" s="1" t="s">
        <v>24</v>
      </c>
      <c r="D949" s="1" t="s">
        <v>1909</v>
      </c>
      <c r="E949" s="1" t="s">
        <v>1910</v>
      </c>
      <c r="F949" s="2">
        <v>485</v>
      </c>
      <c r="G949" s="3">
        <v>62.1</v>
      </c>
      <c r="H949" s="4" t="str">
        <f>IF(AND(A949="Yes",C949="School"),COUNTIFS($A$6:A949,"Yes",$C$6:C949,"School"),"")</f>
        <v/>
      </c>
    </row>
    <row r="950" spans="1:8">
      <c r="A950" s="13"/>
      <c r="B950" s="1" t="s">
        <v>1854</v>
      </c>
      <c r="C950" s="1" t="s">
        <v>24</v>
      </c>
      <c r="D950" s="1" t="s">
        <v>1911</v>
      </c>
      <c r="E950" s="1" t="s">
        <v>1912</v>
      </c>
      <c r="F950" s="2">
        <v>115</v>
      </c>
      <c r="G950" s="3">
        <v>78.3</v>
      </c>
      <c r="H950" s="4" t="str">
        <f>IF(AND(A950="Yes",C950="School"),COUNTIFS($A$6:A950,"Yes",$C$6:C950,"School"),"")</f>
        <v/>
      </c>
    </row>
    <row r="951" spans="1:8">
      <c r="A951" s="13"/>
      <c r="B951" s="1" t="s">
        <v>1854</v>
      </c>
      <c r="C951" s="1" t="s">
        <v>24</v>
      </c>
      <c r="D951" s="1" t="s">
        <v>1913</v>
      </c>
      <c r="E951" s="1" t="s">
        <v>1914</v>
      </c>
      <c r="F951" s="2">
        <v>427</v>
      </c>
      <c r="G951" s="3">
        <v>56.7</v>
      </c>
      <c r="H951" s="4" t="str">
        <f>IF(AND(A951="Yes",C951="School"),COUNTIFS($A$6:A951,"Yes",$C$6:C951,"School"),"")</f>
        <v/>
      </c>
    </row>
    <row r="952" spans="1:8">
      <c r="A952" s="13"/>
      <c r="B952" s="1" t="s">
        <v>1854</v>
      </c>
      <c r="C952" s="1" t="s">
        <v>24</v>
      </c>
      <c r="D952" s="1" t="s">
        <v>1915</v>
      </c>
      <c r="E952" s="1" t="s">
        <v>1916</v>
      </c>
      <c r="F952" s="2">
        <v>343</v>
      </c>
      <c r="G952" s="3">
        <v>31.2</v>
      </c>
      <c r="H952" s="4" t="str">
        <f>IF(AND(A952="Yes",C952="School"),COUNTIFS($A$6:A952,"Yes",$C$6:C952,"School"),"")</f>
        <v/>
      </c>
    </row>
    <row r="953" spans="1:8">
      <c r="A953" s="13"/>
      <c r="B953" s="1" t="s">
        <v>1854</v>
      </c>
      <c r="C953" s="1" t="s">
        <v>24</v>
      </c>
      <c r="D953" s="1" t="s">
        <v>1917</v>
      </c>
      <c r="E953" s="1" t="s">
        <v>1918</v>
      </c>
      <c r="F953" s="2">
        <v>351</v>
      </c>
      <c r="G953" s="3">
        <v>37.9</v>
      </c>
      <c r="H953" s="4" t="str">
        <f>IF(AND(A953="Yes",C953="School"),COUNTIFS($A$6:A953,"Yes",$C$6:C953,"School"),"")</f>
        <v/>
      </c>
    </row>
    <row r="954" spans="1:8">
      <c r="A954" s="13"/>
      <c r="B954" s="1" t="s">
        <v>1854</v>
      </c>
      <c r="C954" s="1" t="s">
        <v>24</v>
      </c>
      <c r="D954" s="1" t="s">
        <v>1919</v>
      </c>
      <c r="E954" s="1" t="s">
        <v>1920</v>
      </c>
      <c r="F954" s="2">
        <v>424</v>
      </c>
      <c r="G954" s="3">
        <v>66</v>
      </c>
      <c r="H954" s="4" t="str">
        <f>IF(AND(A954="Yes",C954="School"),COUNTIFS($A$6:A954,"Yes",$C$6:C954,"School"),"")</f>
        <v/>
      </c>
    </row>
    <row r="955" spans="1:8">
      <c r="A955" s="13"/>
      <c r="B955" s="1" t="s">
        <v>1854</v>
      </c>
      <c r="C955" s="1" t="s">
        <v>24</v>
      </c>
      <c r="D955" s="1" t="s">
        <v>1921</v>
      </c>
      <c r="E955" s="1" t="s">
        <v>1922</v>
      </c>
      <c r="F955" s="2">
        <v>380</v>
      </c>
      <c r="G955" s="3">
        <v>58.2</v>
      </c>
      <c r="H955" s="4" t="str">
        <f>IF(AND(A955="Yes",C955="School"),COUNTIFS($A$6:A955,"Yes",$C$6:C955,"School"),"")</f>
        <v/>
      </c>
    </row>
    <row r="956" spans="1:8">
      <c r="A956" s="13"/>
      <c r="B956" s="1" t="s">
        <v>1854</v>
      </c>
      <c r="C956" s="1" t="s">
        <v>24</v>
      </c>
      <c r="D956" s="1" t="s">
        <v>1923</v>
      </c>
      <c r="E956" s="1" t="s">
        <v>1924</v>
      </c>
      <c r="F956" s="2">
        <v>655</v>
      </c>
      <c r="G956" s="3">
        <v>23.1</v>
      </c>
      <c r="H956" s="4" t="str">
        <f>IF(AND(A956="Yes",C956="School"),COUNTIFS($A$6:A956,"Yes",$C$6:C956,"School"),"")</f>
        <v/>
      </c>
    </row>
    <row r="957" spans="1:8">
      <c r="A957" s="13"/>
      <c r="B957" s="1" t="s">
        <v>1854</v>
      </c>
      <c r="C957" s="1" t="s">
        <v>24</v>
      </c>
      <c r="D957" s="1" t="s">
        <v>1925</v>
      </c>
      <c r="E957" s="1" t="s">
        <v>1926</v>
      </c>
      <c r="F957" s="2">
        <v>318</v>
      </c>
      <c r="G957" s="3">
        <v>30.8</v>
      </c>
      <c r="H957" s="4" t="str">
        <f>IF(AND(A957="Yes",C957="School"),COUNTIFS($A$6:A957,"Yes",$C$6:C957,"School"),"")</f>
        <v/>
      </c>
    </row>
    <row r="958" spans="1:8">
      <c r="A958" s="13"/>
      <c r="B958" s="1" t="s">
        <v>1854</v>
      </c>
      <c r="C958" s="1" t="s">
        <v>24</v>
      </c>
      <c r="D958" s="1" t="s">
        <v>1927</v>
      </c>
      <c r="E958" s="1" t="s">
        <v>1928</v>
      </c>
      <c r="F958" s="2">
        <v>365</v>
      </c>
      <c r="G958" s="3">
        <v>73.400000000000006</v>
      </c>
      <c r="H958" s="4" t="str">
        <f>IF(AND(A958="Yes",C958="School"),COUNTIFS($A$6:A958,"Yes",$C$6:C958,"School"),"")</f>
        <v/>
      </c>
    </row>
    <row r="959" spans="1:8">
      <c r="A959" s="13"/>
      <c r="B959" s="1" t="s">
        <v>1854</v>
      </c>
      <c r="C959" s="1" t="s">
        <v>24</v>
      </c>
      <c r="D959" s="1" t="s">
        <v>1929</v>
      </c>
      <c r="E959" s="1" t="s">
        <v>1930</v>
      </c>
      <c r="F959" s="2">
        <v>299</v>
      </c>
      <c r="G959" s="3">
        <v>30.8</v>
      </c>
      <c r="H959" s="4" t="str">
        <f>IF(AND(A959="Yes",C959="School"),COUNTIFS($A$6:A959,"Yes",$C$6:C959,"School"),"")</f>
        <v/>
      </c>
    </row>
    <row r="960" spans="1:8">
      <c r="A960" s="13"/>
      <c r="B960" s="1" t="s">
        <v>1854</v>
      </c>
      <c r="C960" s="1" t="s">
        <v>24</v>
      </c>
      <c r="D960" s="1" t="s">
        <v>1931</v>
      </c>
      <c r="E960" s="1" t="s">
        <v>1932</v>
      </c>
      <c r="F960" s="2">
        <v>677</v>
      </c>
      <c r="G960" s="3">
        <v>53.5</v>
      </c>
      <c r="H960" s="4" t="str">
        <f>IF(AND(A960="Yes",C960="School"),COUNTIFS($A$6:A960,"Yes",$C$6:C960,"School"),"")</f>
        <v/>
      </c>
    </row>
    <row r="961" spans="1:8">
      <c r="A961" s="13"/>
      <c r="B961" s="1" t="s">
        <v>1854</v>
      </c>
      <c r="C961" s="1" t="s">
        <v>24</v>
      </c>
      <c r="D961" s="1" t="s">
        <v>1933</v>
      </c>
      <c r="E961" s="1" t="s">
        <v>1934</v>
      </c>
      <c r="F961" s="2">
        <v>661</v>
      </c>
      <c r="G961" s="3">
        <v>54.5</v>
      </c>
      <c r="H961" s="4" t="str">
        <f>IF(AND(A961="Yes",C961="School"),COUNTIFS($A$6:A961,"Yes",$C$6:C961,"School"),"")</f>
        <v/>
      </c>
    </row>
    <row r="962" spans="1:8">
      <c r="A962" s="13"/>
      <c r="B962" s="1" t="s">
        <v>1854</v>
      </c>
      <c r="C962" s="1" t="s">
        <v>24</v>
      </c>
      <c r="D962" s="1" t="s">
        <v>1935</v>
      </c>
      <c r="E962" s="1" t="s">
        <v>1936</v>
      </c>
      <c r="F962" s="2">
        <v>1196</v>
      </c>
      <c r="G962" s="3">
        <v>53.9</v>
      </c>
      <c r="H962" s="4" t="str">
        <f>IF(AND(A962="Yes",C962="School"),COUNTIFS($A$6:A962,"Yes",$C$6:C962,"School"),"")</f>
        <v/>
      </c>
    </row>
    <row r="963" spans="1:8">
      <c r="A963" s="13"/>
      <c r="B963" s="1" t="s">
        <v>1854</v>
      </c>
      <c r="C963" s="1" t="s">
        <v>24</v>
      </c>
      <c r="D963" s="1" t="s">
        <v>1937</v>
      </c>
      <c r="E963" s="1" t="s">
        <v>1938</v>
      </c>
      <c r="F963" s="2">
        <v>386</v>
      </c>
      <c r="G963" s="3">
        <v>51</v>
      </c>
      <c r="H963" s="4" t="str">
        <f>IF(AND(A963="Yes",C963="School"),COUNTIFS($A$6:A963,"Yes",$C$6:C963,"School"),"")</f>
        <v/>
      </c>
    </row>
    <row r="964" spans="1:8">
      <c r="A964" s="13"/>
      <c r="B964" s="1" t="s">
        <v>1854</v>
      </c>
      <c r="C964" s="1" t="s">
        <v>24</v>
      </c>
      <c r="D964" s="1" t="s">
        <v>1939</v>
      </c>
      <c r="E964" s="1" t="s">
        <v>1940</v>
      </c>
      <c r="F964" s="2">
        <v>432</v>
      </c>
      <c r="G964" s="3">
        <v>64.400000000000006</v>
      </c>
      <c r="H964" s="4" t="str">
        <f>IF(AND(A964="Yes",C964="School"),COUNTIFS($A$6:A964,"Yes",$C$6:C964,"School"),"")</f>
        <v/>
      </c>
    </row>
    <row r="965" spans="1:8">
      <c r="A965" s="13"/>
      <c r="B965" s="1" t="s">
        <v>1854</v>
      </c>
      <c r="C965" s="1" t="s">
        <v>24</v>
      </c>
      <c r="D965" s="1" t="s">
        <v>1941</v>
      </c>
      <c r="E965" s="1" t="s">
        <v>1942</v>
      </c>
      <c r="F965" s="2">
        <v>757</v>
      </c>
      <c r="G965" s="3">
        <v>30.1</v>
      </c>
      <c r="H965" s="4" t="str">
        <f>IF(AND(A965="Yes",C965="School"),COUNTIFS($A$6:A965,"Yes",$C$6:C965,"School"),"")</f>
        <v/>
      </c>
    </row>
    <row r="966" spans="1:8">
      <c r="A966" s="13"/>
      <c r="B966" s="1" t="s">
        <v>1854</v>
      </c>
      <c r="C966" s="1" t="s">
        <v>24</v>
      </c>
      <c r="D966" s="1" t="s">
        <v>1943</v>
      </c>
      <c r="E966" s="1" t="s">
        <v>1944</v>
      </c>
      <c r="F966" s="2">
        <v>278</v>
      </c>
      <c r="G966" s="3">
        <v>68</v>
      </c>
      <c r="H966" s="4" t="str">
        <f>IF(AND(A966="Yes",C966="School"),COUNTIFS($A$6:A966,"Yes",$C$6:C966,"School"),"")</f>
        <v/>
      </c>
    </row>
    <row r="967" spans="1:8">
      <c r="A967" s="13"/>
      <c r="B967" s="1" t="s">
        <v>1854</v>
      </c>
      <c r="C967" s="1" t="s">
        <v>24</v>
      </c>
      <c r="D967" s="1" t="s">
        <v>1945</v>
      </c>
      <c r="E967" s="1" t="s">
        <v>1946</v>
      </c>
      <c r="F967" s="2">
        <v>1637</v>
      </c>
      <c r="G967" s="3">
        <v>38.9</v>
      </c>
      <c r="H967" s="4" t="str">
        <f>IF(AND(A967="Yes",C967="School"),COUNTIFS($A$6:A967,"Yes",$C$6:C967,"School"),"")</f>
        <v/>
      </c>
    </row>
    <row r="968" spans="1:8">
      <c r="A968" s="13"/>
      <c r="B968" s="1" t="s">
        <v>1854</v>
      </c>
      <c r="C968" s="1" t="s">
        <v>24</v>
      </c>
      <c r="D968" s="1" t="s">
        <v>1947</v>
      </c>
      <c r="E968" s="1" t="s">
        <v>1948</v>
      </c>
      <c r="F968" s="2">
        <v>663</v>
      </c>
      <c r="G968" s="3">
        <v>30.5</v>
      </c>
      <c r="H968" s="4" t="str">
        <f>IF(AND(A968="Yes",C968="School"),COUNTIFS($A$6:A968,"Yes",$C$6:C968,"School"),"")</f>
        <v/>
      </c>
    </row>
    <row r="969" spans="1:8">
      <c r="A969" s="13"/>
      <c r="B969" s="1" t="s">
        <v>1854</v>
      </c>
      <c r="C969" s="1" t="s">
        <v>24</v>
      </c>
      <c r="D969" s="1" t="s">
        <v>1949</v>
      </c>
      <c r="E969" s="1" t="s">
        <v>1950</v>
      </c>
      <c r="F969" s="2">
        <v>528</v>
      </c>
      <c r="G969" s="3">
        <v>65.900000000000006</v>
      </c>
      <c r="H969" s="4" t="str">
        <f>IF(AND(A969="Yes",C969="School"),COUNTIFS($A$6:A969,"Yes",$C$6:C969,"School"),"")</f>
        <v/>
      </c>
    </row>
    <row r="970" spans="1:8">
      <c r="A970" s="13"/>
      <c r="B970" s="1" t="s">
        <v>1854</v>
      </c>
      <c r="C970" s="1" t="s">
        <v>24</v>
      </c>
      <c r="D970" s="1" t="s">
        <v>1951</v>
      </c>
      <c r="E970" s="1" t="s">
        <v>1952</v>
      </c>
      <c r="F970" s="2">
        <v>1117</v>
      </c>
      <c r="G970" s="3">
        <v>38.700000000000003</v>
      </c>
      <c r="H970" s="4" t="str">
        <f>IF(AND(A970="Yes",C970="School"),COUNTIFS($A$6:A970,"Yes",$C$6:C970,"School"),"")</f>
        <v/>
      </c>
    </row>
    <row r="971" spans="1:8">
      <c r="A971" s="13"/>
      <c r="B971" s="1" t="s">
        <v>1854</v>
      </c>
      <c r="C971" s="1" t="s">
        <v>24</v>
      </c>
      <c r="D971" s="1" t="s">
        <v>1953</v>
      </c>
      <c r="E971" s="1" t="s">
        <v>1954</v>
      </c>
      <c r="F971" s="2">
        <v>1318</v>
      </c>
      <c r="G971" s="3">
        <v>56.9</v>
      </c>
      <c r="H971" s="4" t="str">
        <f>IF(AND(A971="Yes",C971="School"),COUNTIFS($A$6:A971,"Yes",$C$6:C971,"School"),"")</f>
        <v/>
      </c>
    </row>
    <row r="972" spans="1:8">
      <c r="A972" s="13"/>
      <c r="B972" s="1" t="s">
        <v>1854</v>
      </c>
      <c r="C972" s="1" t="s">
        <v>24</v>
      </c>
      <c r="D972" s="1" t="s">
        <v>1955</v>
      </c>
      <c r="E972" s="1" t="s">
        <v>1956</v>
      </c>
      <c r="F972" s="2">
        <v>670</v>
      </c>
      <c r="G972" s="3">
        <v>33.299999999999997</v>
      </c>
      <c r="H972" s="4" t="str">
        <f>IF(AND(A972="Yes",C972="School"),COUNTIFS($A$6:A972,"Yes",$C$6:C972,"School"),"")</f>
        <v/>
      </c>
    </row>
    <row r="973" spans="1:8">
      <c r="A973" s="13"/>
      <c r="B973" s="1" t="s">
        <v>1854</v>
      </c>
      <c r="C973" s="1" t="s">
        <v>24</v>
      </c>
      <c r="D973" s="1" t="s">
        <v>1957</v>
      </c>
      <c r="E973" s="1" t="s">
        <v>1958</v>
      </c>
      <c r="F973" s="2">
        <v>500</v>
      </c>
      <c r="G973" s="3">
        <v>41.8</v>
      </c>
      <c r="H973" s="4" t="str">
        <f>IF(AND(A973="Yes",C973="School"),COUNTIFS($A$6:A973,"Yes",$C$6:C973,"School"),"")</f>
        <v/>
      </c>
    </row>
    <row r="974" spans="1:8">
      <c r="A974" s="13"/>
      <c r="B974" s="1" t="s">
        <v>1854</v>
      </c>
      <c r="C974" s="1" t="s">
        <v>24</v>
      </c>
      <c r="D974" s="1" t="s">
        <v>1959</v>
      </c>
      <c r="E974" s="1" t="s">
        <v>1960</v>
      </c>
      <c r="F974" s="2">
        <v>226</v>
      </c>
      <c r="G974" s="3">
        <v>52.7</v>
      </c>
      <c r="H974" s="4" t="str">
        <f>IF(AND(A974="Yes",C974="School"),COUNTIFS($A$6:A974,"Yes",$C$6:C974,"School"),"")</f>
        <v/>
      </c>
    </row>
    <row r="975" spans="1:8">
      <c r="A975" s="13"/>
      <c r="B975" s="1" t="s">
        <v>1854</v>
      </c>
      <c r="C975" s="1" t="s">
        <v>24</v>
      </c>
      <c r="D975" s="1" t="s">
        <v>1961</v>
      </c>
      <c r="E975" s="1" t="s">
        <v>1962</v>
      </c>
      <c r="F975" s="2">
        <v>300</v>
      </c>
      <c r="G975" s="3">
        <v>68.7</v>
      </c>
      <c r="H975" s="4" t="str">
        <f>IF(AND(A975="Yes",C975="School"),COUNTIFS($A$6:A975,"Yes",$C$6:C975,"School"),"")</f>
        <v/>
      </c>
    </row>
    <row r="976" spans="1:8">
      <c r="A976" s="13"/>
      <c r="B976" s="1" t="s">
        <v>1854</v>
      </c>
      <c r="C976" s="1" t="s">
        <v>24</v>
      </c>
      <c r="D976" s="1" t="s">
        <v>1963</v>
      </c>
      <c r="E976" s="1" t="s">
        <v>1964</v>
      </c>
      <c r="F976" s="2">
        <v>355</v>
      </c>
      <c r="G976" s="3">
        <v>72.7</v>
      </c>
      <c r="H976" s="4" t="str">
        <f>IF(AND(A976="Yes",C976="School"),COUNTIFS($A$6:A976,"Yes",$C$6:C976,"School"),"")</f>
        <v/>
      </c>
    </row>
    <row r="977" spans="1:8">
      <c r="A977" s="13"/>
      <c r="B977" s="1" t="s">
        <v>1965</v>
      </c>
      <c r="C977" s="1" t="s">
        <v>24</v>
      </c>
      <c r="D977" s="1" t="s">
        <v>1965</v>
      </c>
      <c r="E977" s="1" t="s">
        <v>1966</v>
      </c>
      <c r="F977" s="2">
        <v>168</v>
      </c>
      <c r="G977" s="3">
        <v>75</v>
      </c>
      <c r="H977" s="4" t="str">
        <f>IF(AND(A977="Yes",C977="School"),COUNTIFS($A$6:A977,"Yes",$C$6:C977,"School"),"")</f>
        <v/>
      </c>
    </row>
    <row r="978" spans="1:8">
      <c r="A978" s="13"/>
      <c r="B978" s="1" t="s">
        <v>1967</v>
      </c>
      <c r="C978" s="1" t="s">
        <v>24</v>
      </c>
      <c r="D978" s="1" t="s">
        <v>1967</v>
      </c>
      <c r="E978" s="1" t="s">
        <v>1968</v>
      </c>
      <c r="F978" s="2">
        <v>1233</v>
      </c>
      <c r="G978" s="3">
        <v>19.2</v>
      </c>
      <c r="H978" s="4" t="str">
        <f>IF(AND(A978="Yes",C978="School"),COUNTIFS($A$6:A978,"Yes",$C$6:C978,"School"),"")</f>
        <v/>
      </c>
    </row>
    <row r="979" spans="1:8">
      <c r="A979" s="13"/>
      <c r="B979" s="1" t="s">
        <v>1969</v>
      </c>
      <c r="C979" s="1" t="s">
        <v>24</v>
      </c>
      <c r="D979" s="1" t="s">
        <v>1969</v>
      </c>
      <c r="E979" s="1" t="s">
        <v>1970</v>
      </c>
      <c r="F979" s="2">
        <v>42</v>
      </c>
      <c r="G979" s="3">
        <v>83.3</v>
      </c>
      <c r="H979" s="4" t="str">
        <f>IF(AND(A979="Yes",C979="School"),COUNTIFS($A$6:A979,"Yes",$C$6:C979,"School"),"")</f>
        <v/>
      </c>
    </row>
    <row r="980" spans="1:8">
      <c r="A980" s="13"/>
      <c r="B980" s="1" t="s">
        <v>1971</v>
      </c>
      <c r="C980" s="1" t="s">
        <v>24</v>
      </c>
      <c r="D980" s="1" t="s">
        <v>1971</v>
      </c>
      <c r="E980" s="1" t="s">
        <v>1972</v>
      </c>
      <c r="F980" s="2">
        <v>85</v>
      </c>
      <c r="G980" s="3">
        <v>83.5</v>
      </c>
      <c r="H980" s="4" t="str">
        <f>IF(AND(A980="Yes",C980="School"),COUNTIFS($A$6:A980,"Yes",$C$6:C980,"School"),"")</f>
        <v/>
      </c>
    </row>
    <row r="981" spans="1:8">
      <c r="A981" s="13"/>
      <c r="B981" s="1" t="s">
        <v>1973</v>
      </c>
      <c r="C981" s="1" t="s">
        <v>40</v>
      </c>
      <c r="D981" s="1" t="s">
        <v>41</v>
      </c>
      <c r="E981" s="1" t="s">
        <v>1974</v>
      </c>
      <c r="F981" s="2">
        <v>1706</v>
      </c>
      <c r="G981" s="3">
        <v>57.2</v>
      </c>
      <c r="H981" s="4" t="str">
        <f>IF(AND(A981="Yes",C981="School"),COUNTIFS($A$6:A981,"Yes",$C$6:C981,"School"),"")</f>
        <v/>
      </c>
    </row>
    <row r="982" spans="1:8">
      <c r="A982" s="13"/>
      <c r="B982" s="1" t="s">
        <v>1973</v>
      </c>
      <c r="C982" s="1" t="s">
        <v>24</v>
      </c>
      <c r="D982" s="1" t="s">
        <v>1975</v>
      </c>
      <c r="E982" s="1" t="s">
        <v>1976</v>
      </c>
      <c r="F982" s="2">
        <v>331</v>
      </c>
      <c r="G982" s="3">
        <v>58</v>
      </c>
      <c r="H982" s="4" t="str">
        <f>IF(AND(A982="Yes",C982="School"),COUNTIFS($A$6:A982,"Yes",$C$6:C982,"School"),"")</f>
        <v/>
      </c>
    </row>
    <row r="983" spans="1:8">
      <c r="A983" s="13"/>
      <c r="B983" s="1" t="s">
        <v>1973</v>
      </c>
      <c r="C983" s="1" t="s">
        <v>24</v>
      </c>
      <c r="D983" s="1" t="s">
        <v>1977</v>
      </c>
      <c r="E983" s="1" t="s">
        <v>1978</v>
      </c>
      <c r="F983" s="2">
        <v>387</v>
      </c>
      <c r="G983" s="3">
        <v>54</v>
      </c>
      <c r="H983" s="4" t="str">
        <f>IF(AND(A983="Yes",C983="School"),COUNTIFS($A$6:A983,"Yes",$C$6:C983,"School"),"")</f>
        <v/>
      </c>
    </row>
    <row r="984" spans="1:8">
      <c r="A984" s="13"/>
      <c r="B984" s="1" t="s">
        <v>1973</v>
      </c>
      <c r="C984" s="1" t="s">
        <v>24</v>
      </c>
      <c r="D984" s="1" t="s">
        <v>1979</v>
      </c>
      <c r="E984" s="1" t="s">
        <v>1980</v>
      </c>
      <c r="F984" s="2">
        <v>493</v>
      </c>
      <c r="G984" s="3">
        <v>53.5</v>
      </c>
      <c r="H984" s="4" t="str">
        <f>IF(AND(A984="Yes",C984="School"),COUNTIFS($A$6:A984,"Yes",$C$6:C984,"School"),"")</f>
        <v/>
      </c>
    </row>
    <row r="985" spans="1:8">
      <c r="A985" s="13"/>
      <c r="B985" s="1" t="s">
        <v>1973</v>
      </c>
      <c r="C985" s="1" t="s">
        <v>24</v>
      </c>
      <c r="D985" s="1" t="s">
        <v>735</v>
      </c>
      <c r="E985" s="1" t="s">
        <v>1981</v>
      </c>
      <c r="F985" s="2">
        <v>495</v>
      </c>
      <c r="G985" s="3">
        <v>62.6</v>
      </c>
      <c r="H985" s="4" t="str">
        <f>IF(AND(A985="Yes",C985="School"),COUNTIFS($A$6:A985,"Yes",$C$6:C985,"School"),"")</f>
        <v/>
      </c>
    </row>
    <row r="986" spans="1:8">
      <c r="A986" s="13"/>
      <c r="B986" s="1" t="s">
        <v>1982</v>
      </c>
      <c r="C986" s="1" t="s">
        <v>40</v>
      </c>
      <c r="D986" s="1" t="s">
        <v>41</v>
      </c>
      <c r="E986" s="1" t="s">
        <v>1983</v>
      </c>
      <c r="F986" s="2">
        <v>6180</v>
      </c>
      <c r="G986" s="3">
        <v>75.900000000000006</v>
      </c>
      <c r="H986" s="4" t="str">
        <f>IF(AND(A986="Yes",C986="School"),COUNTIFS($A$6:A986,"Yes",$C$6:C986,"School"),"")</f>
        <v/>
      </c>
    </row>
    <row r="987" spans="1:8">
      <c r="A987" s="13"/>
      <c r="B987" s="1" t="s">
        <v>1982</v>
      </c>
      <c r="C987" s="1" t="s">
        <v>24</v>
      </c>
      <c r="D987" s="1" t="s">
        <v>1984</v>
      </c>
      <c r="E987" s="1" t="s">
        <v>1985</v>
      </c>
      <c r="F987" s="2">
        <v>262</v>
      </c>
      <c r="G987" s="3">
        <v>91.2</v>
      </c>
      <c r="H987" s="4" t="str">
        <f>IF(AND(A987="Yes",C987="School"),COUNTIFS($A$6:A987,"Yes",$C$6:C987,"School"),"")</f>
        <v/>
      </c>
    </row>
    <row r="988" spans="1:8">
      <c r="A988" s="13"/>
      <c r="B988" s="1" t="s">
        <v>1982</v>
      </c>
      <c r="C988" s="1" t="s">
        <v>24</v>
      </c>
      <c r="D988" s="1" t="s">
        <v>1986</v>
      </c>
      <c r="E988" s="1" t="s">
        <v>1987</v>
      </c>
      <c r="F988" s="2">
        <v>238</v>
      </c>
      <c r="G988" s="3">
        <v>69.3</v>
      </c>
      <c r="H988" s="4" t="str">
        <f>IF(AND(A988="Yes",C988="School"),COUNTIFS($A$6:A988,"Yes",$C$6:C988,"School"),"")</f>
        <v/>
      </c>
    </row>
    <row r="989" spans="1:8">
      <c r="A989" s="13"/>
      <c r="B989" s="1" t="s">
        <v>1982</v>
      </c>
      <c r="C989" s="1" t="s">
        <v>24</v>
      </c>
      <c r="D989" s="1" t="s">
        <v>1988</v>
      </c>
      <c r="E989" s="1" t="s">
        <v>1989</v>
      </c>
      <c r="F989" s="2">
        <v>202</v>
      </c>
      <c r="G989" s="3">
        <v>87.6</v>
      </c>
      <c r="H989" s="4" t="str">
        <f>IF(AND(A989="Yes",C989="School"),COUNTIFS($A$6:A989,"Yes",$C$6:C989,"School"),"")</f>
        <v/>
      </c>
    </row>
    <row r="990" spans="1:8">
      <c r="A990" s="13"/>
      <c r="B990" s="1" t="s">
        <v>1982</v>
      </c>
      <c r="C990" s="1" t="s">
        <v>24</v>
      </c>
      <c r="D990" s="1" t="s">
        <v>1990</v>
      </c>
      <c r="E990" s="1" t="s">
        <v>1991</v>
      </c>
      <c r="F990" s="2">
        <v>75</v>
      </c>
      <c r="G990" s="3">
        <v>65.3</v>
      </c>
      <c r="H990" s="4" t="str">
        <f>IF(AND(A990="Yes",C990="School"),COUNTIFS($A$6:A990,"Yes",$C$6:C990,"School"),"")</f>
        <v/>
      </c>
    </row>
    <row r="991" spans="1:8">
      <c r="A991" s="13"/>
      <c r="B991" s="1" t="s">
        <v>1982</v>
      </c>
      <c r="C991" s="1" t="s">
        <v>24</v>
      </c>
      <c r="D991" s="1" t="s">
        <v>1992</v>
      </c>
      <c r="E991" s="1" t="s">
        <v>1993</v>
      </c>
      <c r="F991" s="2">
        <v>168</v>
      </c>
      <c r="G991" s="3">
        <v>42.9</v>
      </c>
      <c r="H991" s="4" t="str">
        <f>IF(AND(A991="Yes",C991="School"),COUNTIFS($A$6:A991,"Yes",$C$6:C991,"School"),"")</f>
        <v/>
      </c>
    </row>
    <row r="992" spans="1:8">
      <c r="A992" s="13"/>
      <c r="B992" s="1" t="s">
        <v>1982</v>
      </c>
      <c r="C992" s="1" t="s">
        <v>24</v>
      </c>
      <c r="D992" s="1" t="s">
        <v>429</v>
      </c>
      <c r="E992" s="1" t="s">
        <v>1994</v>
      </c>
      <c r="F992" s="2">
        <v>263</v>
      </c>
      <c r="G992" s="3">
        <v>90.1</v>
      </c>
      <c r="H992" s="4" t="str">
        <f>IF(AND(A992="Yes",C992="School"),COUNTIFS($A$6:A992,"Yes",$C$6:C992,"School"),"")</f>
        <v/>
      </c>
    </row>
    <row r="993" spans="1:8">
      <c r="A993" s="13"/>
      <c r="B993" s="1" t="s">
        <v>1982</v>
      </c>
      <c r="C993" s="1" t="s">
        <v>24</v>
      </c>
      <c r="D993" s="1" t="s">
        <v>1995</v>
      </c>
      <c r="E993" s="1" t="s">
        <v>1996</v>
      </c>
      <c r="F993" s="2">
        <v>557</v>
      </c>
      <c r="G993" s="3">
        <v>79.2</v>
      </c>
      <c r="H993" s="4" t="str">
        <f>IF(AND(A993="Yes",C993="School"),COUNTIFS($A$6:A993,"Yes",$C$6:C993,"School"),"")</f>
        <v/>
      </c>
    </row>
    <row r="994" spans="1:8">
      <c r="A994" s="13"/>
      <c r="B994" s="1" t="s">
        <v>1982</v>
      </c>
      <c r="C994" s="1" t="s">
        <v>24</v>
      </c>
      <c r="D994" s="1" t="s">
        <v>1997</v>
      </c>
      <c r="E994" s="1" t="s">
        <v>1998</v>
      </c>
      <c r="F994" s="2">
        <v>546</v>
      </c>
      <c r="G994" s="3">
        <v>72.7</v>
      </c>
      <c r="H994" s="4" t="str">
        <f>IF(AND(A994="Yes",C994="School"),COUNTIFS($A$6:A994,"Yes",$C$6:C994,"School"),"")</f>
        <v/>
      </c>
    </row>
    <row r="995" spans="1:8">
      <c r="A995" s="13"/>
      <c r="B995" s="1" t="s">
        <v>1982</v>
      </c>
      <c r="C995" s="1" t="s">
        <v>24</v>
      </c>
      <c r="D995" s="1" t="s">
        <v>1999</v>
      </c>
      <c r="E995" s="1" t="s">
        <v>2000</v>
      </c>
      <c r="F995" s="2">
        <v>323</v>
      </c>
      <c r="G995" s="3">
        <v>87.3</v>
      </c>
      <c r="H995" s="4" t="str">
        <f>IF(AND(A995="Yes",C995="School"),COUNTIFS($A$6:A995,"Yes",$C$6:C995,"School"),"")</f>
        <v/>
      </c>
    </row>
    <row r="996" spans="1:8">
      <c r="A996" s="13"/>
      <c r="B996" s="1" t="s">
        <v>1982</v>
      </c>
      <c r="C996" s="1" t="s">
        <v>24</v>
      </c>
      <c r="D996" s="1" t="s">
        <v>2001</v>
      </c>
      <c r="E996" s="1" t="s">
        <v>2002</v>
      </c>
      <c r="F996" s="2">
        <v>511</v>
      </c>
      <c r="G996" s="3">
        <v>71.2</v>
      </c>
      <c r="H996" s="4" t="str">
        <f>IF(AND(A996="Yes",C996="School"),COUNTIFS($A$6:A996,"Yes",$C$6:C996,"School"),"")</f>
        <v/>
      </c>
    </row>
    <row r="997" spans="1:8">
      <c r="A997" s="13"/>
      <c r="B997" s="1" t="s">
        <v>1982</v>
      </c>
      <c r="C997" s="1" t="s">
        <v>24</v>
      </c>
      <c r="D997" s="1" t="s">
        <v>2003</v>
      </c>
      <c r="E997" s="1" t="s">
        <v>2004</v>
      </c>
      <c r="F997" s="2">
        <v>408</v>
      </c>
      <c r="G997" s="3">
        <v>79.7</v>
      </c>
      <c r="H997" s="4" t="str">
        <f>IF(AND(A997="Yes",C997="School"),COUNTIFS($A$6:A997,"Yes",$C$6:C997,"School"),"")</f>
        <v/>
      </c>
    </row>
    <row r="998" spans="1:8">
      <c r="A998" s="13"/>
      <c r="B998" s="1" t="s">
        <v>1982</v>
      </c>
      <c r="C998" s="1" t="s">
        <v>24</v>
      </c>
      <c r="D998" s="1" t="s">
        <v>846</v>
      </c>
      <c r="E998" s="1" t="s">
        <v>2005</v>
      </c>
      <c r="F998" s="2">
        <v>123</v>
      </c>
      <c r="G998" s="3">
        <v>74</v>
      </c>
      <c r="H998" s="4" t="str">
        <f>IF(AND(A998="Yes",C998="School"),COUNTIFS($A$6:A998,"Yes",$C$6:C998,"School"),"")</f>
        <v/>
      </c>
    </row>
    <row r="999" spans="1:8">
      <c r="A999" s="13"/>
      <c r="B999" s="1" t="s">
        <v>1982</v>
      </c>
      <c r="C999" s="1" t="s">
        <v>24</v>
      </c>
      <c r="D999" s="1" t="s">
        <v>2006</v>
      </c>
      <c r="E999" s="1" t="s">
        <v>2007</v>
      </c>
      <c r="F999" s="2">
        <v>215</v>
      </c>
      <c r="G999" s="3">
        <v>90.2</v>
      </c>
      <c r="H999" s="4" t="str">
        <f>IF(AND(A999="Yes",C999="School"),COUNTIFS($A$6:A999,"Yes",$C$6:C999,"School"),"")</f>
        <v/>
      </c>
    </row>
    <row r="1000" spans="1:8">
      <c r="A1000" s="13"/>
      <c r="B1000" s="1" t="s">
        <v>1982</v>
      </c>
      <c r="C1000" s="1" t="s">
        <v>24</v>
      </c>
      <c r="D1000" s="1" t="s">
        <v>2008</v>
      </c>
      <c r="E1000" s="1" t="s">
        <v>2009</v>
      </c>
      <c r="F1000" s="2">
        <v>249</v>
      </c>
      <c r="G1000" s="3">
        <v>67.099999999999994</v>
      </c>
      <c r="H1000" s="4" t="str">
        <f>IF(AND(A1000="Yes",C1000="School"),COUNTIFS($A$6:A1000,"Yes",$C$6:C1000,"School"),"")</f>
        <v/>
      </c>
    </row>
    <row r="1001" spans="1:8">
      <c r="A1001" s="13"/>
      <c r="B1001" s="1" t="s">
        <v>1982</v>
      </c>
      <c r="C1001" s="1" t="s">
        <v>24</v>
      </c>
      <c r="D1001" s="1" t="s">
        <v>2010</v>
      </c>
      <c r="E1001" s="1" t="s">
        <v>2011</v>
      </c>
      <c r="F1001" s="2">
        <v>671</v>
      </c>
      <c r="G1001" s="3">
        <v>68</v>
      </c>
      <c r="H1001" s="4" t="str">
        <f>IF(AND(A1001="Yes",C1001="School"),COUNTIFS($A$6:A1001,"Yes",$C$6:C1001,"School"),"")</f>
        <v/>
      </c>
    </row>
    <row r="1002" spans="1:8">
      <c r="A1002" s="13"/>
      <c r="B1002" s="1" t="s">
        <v>1982</v>
      </c>
      <c r="C1002" s="1" t="s">
        <v>24</v>
      </c>
      <c r="D1002" s="1" t="s">
        <v>2012</v>
      </c>
      <c r="E1002" s="1" t="s">
        <v>2013</v>
      </c>
      <c r="F1002" s="2">
        <v>373</v>
      </c>
      <c r="G1002" s="3">
        <v>80.400000000000006</v>
      </c>
      <c r="H1002" s="4" t="str">
        <f>IF(AND(A1002="Yes",C1002="School"),COUNTIFS($A$6:A1002,"Yes",$C$6:C1002,"School"),"")</f>
        <v/>
      </c>
    </row>
    <row r="1003" spans="1:8">
      <c r="A1003" s="13"/>
      <c r="B1003" s="1" t="s">
        <v>1982</v>
      </c>
      <c r="C1003" s="1" t="s">
        <v>24</v>
      </c>
      <c r="D1003" s="1" t="s">
        <v>2014</v>
      </c>
      <c r="E1003" s="1" t="s">
        <v>2015</v>
      </c>
      <c r="F1003" s="2">
        <v>483</v>
      </c>
      <c r="G1003" s="3">
        <v>69.400000000000006</v>
      </c>
      <c r="H1003" s="4" t="str">
        <f>IF(AND(A1003="Yes",C1003="School"),COUNTIFS($A$6:A1003,"Yes",$C$6:C1003,"School"),"")</f>
        <v/>
      </c>
    </row>
    <row r="1004" spans="1:8">
      <c r="A1004" s="13"/>
      <c r="B1004" s="1" t="s">
        <v>1982</v>
      </c>
      <c r="C1004" s="1" t="s">
        <v>24</v>
      </c>
      <c r="D1004" s="1" t="s">
        <v>2016</v>
      </c>
      <c r="E1004" s="1" t="s">
        <v>2017</v>
      </c>
      <c r="F1004" s="2">
        <v>258</v>
      </c>
      <c r="G1004" s="3">
        <v>77.099999999999994</v>
      </c>
      <c r="H1004" s="4" t="str">
        <f>IF(AND(A1004="Yes",C1004="School"),COUNTIFS($A$6:A1004,"Yes",$C$6:C1004,"School"),"")</f>
        <v/>
      </c>
    </row>
    <row r="1005" spans="1:8">
      <c r="A1005" s="13"/>
      <c r="B1005" s="1" t="s">
        <v>1982</v>
      </c>
      <c r="C1005" s="1" t="s">
        <v>24</v>
      </c>
      <c r="D1005" s="1" t="s">
        <v>2018</v>
      </c>
      <c r="E1005" s="1" t="s">
        <v>2019</v>
      </c>
      <c r="F1005" s="2">
        <v>255</v>
      </c>
      <c r="G1005" s="3">
        <v>79.599999999999994</v>
      </c>
      <c r="H1005" s="4" t="str">
        <f>IF(AND(A1005="Yes",C1005="School"),COUNTIFS($A$6:A1005,"Yes",$C$6:C1005,"School"),"")</f>
        <v/>
      </c>
    </row>
    <row r="1006" spans="1:8">
      <c r="A1006" s="13"/>
      <c r="B1006" s="1" t="s">
        <v>2020</v>
      </c>
      <c r="C1006" s="1" t="s">
        <v>40</v>
      </c>
      <c r="D1006" s="1" t="s">
        <v>41</v>
      </c>
      <c r="E1006" s="1" t="s">
        <v>2021</v>
      </c>
      <c r="F1006" s="2">
        <v>4660</v>
      </c>
      <c r="G1006" s="3">
        <v>60.1</v>
      </c>
      <c r="H1006" s="4" t="str">
        <f>IF(AND(A1006="Yes",C1006="School"),COUNTIFS($A$6:A1006,"Yes",$C$6:C1006,"School"),"")</f>
        <v/>
      </c>
    </row>
    <row r="1007" spans="1:8">
      <c r="A1007" s="13"/>
      <c r="B1007" s="1" t="s">
        <v>2020</v>
      </c>
      <c r="C1007" s="1" t="s">
        <v>24</v>
      </c>
      <c r="D1007" s="1" t="s">
        <v>1670</v>
      </c>
      <c r="E1007" s="1" t="s">
        <v>2022</v>
      </c>
      <c r="F1007" s="2">
        <v>479</v>
      </c>
      <c r="G1007" s="3">
        <v>52.2</v>
      </c>
      <c r="H1007" s="4" t="str">
        <f>IF(AND(A1007="Yes",C1007="School"),COUNTIFS($A$6:A1007,"Yes",$C$6:C1007,"School"),"")</f>
        <v/>
      </c>
    </row>
    <row r="1008" spans="1:8">
      <c r="A1008" s="13"/>
      <c r="B1008" s="1" t="s">
        <v>2020</v>
      </c>
      <c r="C1008" s="1" t="s">
        <v>24</v>
      </c>
      <c r="D1008" s="1" t="s">
        <v>2023</v>
      </c>
      <c r="E1008" s="1" t="s">
        <v>2024</v>
      </c>
      <c r="F1008" s="2">
        <v>491</v>
      </c>
      <c r="G1008" s="3">
        <v>59.9</v>
      </c>
      <c r="H1008" s="4" t="str">
        <f>IF(AND(A1008="Yes",C1008="School"),COUNTIFS($A$6:A1008,"Yes",$C$6:C1008,"School"),"")</f>
        <v/>
      </c>
    </row>
    <row r="1009" spans="1:8">
      <c r="A1009" s="13"/>
      <c r="B1009" s="1" t="s">
        <v>2020</v>
      </c>
      <c r="C1009" s="1" t="s">
        <v>24</v>
      </c>
      <c r="D1009" s="1" t="s">
        <v>2025</v>
      </c>
      <c r="E1009" s="1" t="s">
        <v>2026</v>
      </c>
      <c r="F1009" s="2">
        <v>111</v>
      </c>
      <c r="G1009" s="3">
        <v>30.6</v>
      </c>
      <c r="H1009" s="4" t="str">
        <f>IF(AND(A1009="Yes",C1009="School"),COUNTIFS($A$6:A1009,"Yes",$C$6:C1009,"School"),"")</f>
        <v/>
      </c>
    </row>
    <row r="1010" spans="1:8">
      <c r="A1010" s="13"/>
      <c r="B1010" s="1" t="s">
        <v>2020</v>
      </c>
      <c r="C1010" s="1" t="s">
        <v>24</v>
      </c>
      <c r="D1010" s="1" t="s">
        <v>2027</v>
      </c>
      <c r="E1010" s="1" t="s">
        <v>2028</v>
      </c>
      <c r="F1010" s="2">
        <v>41</v>
      </c>
      <c r="G1010" s="3">
        <v>78</v>
      </c>
      <c r="H1010" s="4" t="str">
        <f>IF(AND(A1010="Yes",C1010="School"),COUNTIFS($A$6:A1010,"Yes",$C$6:C1010,"School"),"")</f>
        <v/>
      </c>
    </row>
    <row r="1011" spans="1:8">
      <c r="A1011" s="13"/>
      <c r="B1011" s="1" t="s">
        <v>2020</v>
      </c>
      <c r="C1011" s="1" t="s">
        <v>24</v>
      </c>
      <c r="D1011" s="1" t="s">
        <v>2029</v>
      </c>
      <c r="E1011" s="1" t="s">
        <v>2030</v>
      </c>
      <c r="F1011" s="2">
        <v>417</v>
      </c>
      <c r="G1011" s="3">
        <v>65.2</v>
      </c>
      <c r="H1011" s="4" t="str">
        <f>IF(AND(A1011="Yes",C1011="School"),COUNTIFS($A$6:A1011,"Yes",$C$6:C1011,"School"),"")</f>
        <v/>
      </c>
    </row>
    <row r="1012" spans="1:8">
      <c r="A1012" s="13"/>
      <c r="B1012" s="1" t="s">
        <v>2020</v>
      </c>
      <c r="C1012" s="1" t="s">
        <v>24</v>
      </c>
      <c r="D1012" s="1" t="s">
        <v>2031</v>
      </c>
      <c r="E1012" s="1" t="s">
        <v>2032</v>
      </c>
      <c r="F1012" s="2">
        <v>546</v>
      </c>
      <c r="G1012" s="3">
        <v>55.7</v>
      </c>
      <c r="H1012" s="4" t="str">
        <f>IF(AND(A1012="Yes",C1012="School"),COUNTIFS($A$6:A1012,"Yes",$C$6:C1012,"School"),"")</f>
        <v/>
      </c>
    </row>
    <row r="1013" spans="1:8">
      <c r="A1013" s="13"/>
      <c r="B1013" s="1" t="s">
        <v>2020</v>
      </c>
      <c r="C1013" s="1" t="s">
        <v>24</v>
      </c>
      <c r="D1013" s="1" t="s">
        <v>844</v>
      </c>
      <c r="E1013" s="1" t="s">
        <v>2033</v>
      </c>
      <c r="F1013" s="2">
        <v>420</v>
      </c>
      <c r="G1013" s="3">
        <v>53.6</v>
      </c>
      <c r="H1013" s="4" t="str">
        <f>IF(AND(A1013="Yes",C1013="School"),COUNTIFS($A$6:A1013,"Yes",$C$6:C1013,"School"),"")</f>
        <v/>
      </c>
    </row>
    <row r="1014" spans="1:8">
      <c r="A1014" s="13"/>
      <c r="B1014" s="1" t="s">
        <v>2020</v>
      </c>
      <c r="C1014" s="1" t="s">
        <v>24</v>
      </c>
      <c r="D1014" s="1" t="s">
        <v>2034</v>
      </c>
      <c r="E1014" s="1" t="s">
        <v>2035</v>
      </c>
      <c r="F1014" s="2">
        <v>368</v>
      </c>
      <c r="G1014" s="3">
        <v>73.599999999999994</v>
      </c>
      <c r="H1014" s="4" t="str">
        <f>IF(AND(A1014="Yes",C1014="School"),COUNTIFS($A$6:A1014,"Yes",$C$6:C1014,"School"),"")</f>
        <v/>
      </c>
    </row>
    <row r="1015" spans="1:8">
      <c r="A1015" s="13"/>
      <c r="B1015" s="1" t="s">
        <v>2020</v>
      </c>
      <c r="C1015" s="1" t="s">
        <v>24</v>
      </c>
      <c r="D1015" s="1" t="s">
        <v>2036</v>
      </c>
      <c r="E1015" s="1" t="s">
        <v>2037</v>
      </c>
      <c r="F1015" s="2">
        <v>603</v>
      </c>
      <c r="G1015" s="3">
        <v>58.2</v>
      </c>
      <c r="H1015" s="4" t="str">
        <f>IF(AND(A1015="Yes",C1015="School"),COUNTIFS($A$6:A1015,"Yes",$C$6:C1015,"School"),"")</f>
        <v/>
      </c>
    </row>
    <row r="1016" spans="1:8">
      <c r="A1016" s="13"/>
      <c r="B1016" s="1" t="s">
        <v>2020</v>
      </c>
      <c r="C1016" s="1" t="s">
        <v>24</v>
      </c>
      <c r="D1016" s="1" t="s">
        <v>2038</v>
      </c>
      <c r="E1016" s="1" t="s">
        <v>2039</v>
      </c>
      <c r="F1016" s="2">
        <v>407</v>
      </c>
      <c r="G1016" s="3">
        <v>66.8</v>
      </c>
      <c r="H1016" s="4" t="str">
        <f>IF(AND(A1016="Yes",C1016="School"),COUNTIFS($A$6:A1016,"Yes",$C$6:C1016,"School"),"")</f>
        <v/>
      </c>
    </row>
    <row r="1017" spans="1:8">
      <c r="A1017" s="13"/>
      <c r="B1017" s="1" t="s">
        <v>2020</v>
      </c>
      <c r="C1017" s="1" t="s">
        <v>24</v>
      </c>
      <c r="D1017" s="1" t="s">
        <v>2040</v>
      </c>
      <c r="E1017" s="1" t="s">
        <v>2041</v>
      </c>
      <c r="F1017" s="2">
        <v>463</v>
      </c>
      <c r="G1017" s="3">
        <v>65.7</v>
      </c>
      <c r="H1017" s="4" t="str">
        <f>IF(AND(A1017="Yes",C1017="School"),COUNTIFS($A$6:A1017,"Yes",$C$6:C1017,"School"),"")</f>
        <v/>
      </c>
    </row>
    <row r="1018" spans="1:8">
      <c r="A1018" s="13"/>
      <c r="B1018" s="1" t="s">
        <v>2020</v>
      </c>
      <c r="C1018" s="1" t="s">
        <v>24</v>
      </c>
      <c r="D1018" s="1" t="s">
        <v>2042</v>
      </c>
      <c r="E1018" s="1" t="s">
        <v>2043</v>
      </c>
      <c r="F1018" s="2">
        <v>314</v>
      </c>
      <c r="G1018" s="3">
        <v>61.1</v>
      </c>
      <c r="H1018" s="4" t="str">
        <f>IF(AND(A1018="Yes",C1018="School"),COUNTIFS($A$6:A1018,"Yes",$C$6:C1018,"School"),"")</f>
        <v/>
      </c>
    </row>
    <row r="1019" spans="1:8">
      <c r="A1019" s="13"/>
      <c r="B1019" s="1" t="s">
        <v>2044</v>
      </c>
      <c r="C1019" s="1" t="s">
        <v>40</v>
      </c>
      <c r="D1019" s="1" t="s">
        <v>41</v>
      </c>
      <c r="E1019" s="1" t="s">
        <v>2045</v>
      </c>
      <c r="F1019" s="2">
        <v>1152</v>
      </c>
      <c r="G1019" s="3">
        <v>52.5</v>
      </c>
      <c r="H1019" s="4" t="str">
        <f>IF(AND(A1019="Yes",C1019="School"),COUNTIFS($A$6:A1019,"Yes",$C$6:C1019,"School"),"")</f>
        <v/>
      </c>
    </row>
    <row r="1020" spans="1:8">
      <c r="A1020" s="13"/>
      <c r="B1020" s="1" t="s">
        <v>2044</v>
      </c>
      <c r="C1020" s="1" t="s">
        <v>24</v>
      </c>
      <c r="D1020" s="1" t="s">
        <v>2046</v>
      </c>
      <c r="E1020" s="1" t="s">
        <v>2047</v>
      </c>
      <c r="F1020" s="2">
        <v>526</v>
      </c>
      <c r="G1020" s="3">
        <v>53.8</v>
      </c>
      <c r="H1020" s="4" t="str">
        <f>IF(AND(A1020="Yes",C1020="School"),COUNTIFS($A$6:A1020,"Yes",$C$6:C1020,"School"),"")</f>
        <v/>
      </c>
    </row>
    <row r="1021" spans="1:8">
      <c r="A1021" s="13"/>
      <c r="B1021" s="1" t="s">
        <v>2044</v>
      </c>
      <c r="C1021" s="1" t="s">
        <v>24</v>
      </c>
      <c r="D1021" s="1" t="s">
        <v>2048</v>
      </c>
      <c r="E1021" s="1" t="s">
        <v>2049</v>
      </c>
      <c r="F1021" s="2">
        <v>337</v>
      </c>
      <c r="G1021" s="3">
        <v>48.4</v>
      </c>
      <c r="H1021" s="4" t="str">
        <f>IF(AND(A1021="Yes",C1021="School"),COUNTIFS($A$6:A1021,"Yes",$C$6:C1021,"School"),"")</f>
        <v/>
      </c>
    </row>
    <row r="1022" spans="1:8">
      <c r="A1022" s="13"/>
      <c r="B1022" s="1" t="s">
        <v>2044</v>
      </c>
      <c r="C1022" s="1" t="s">
        <v>24</v>
      </c>
      <c r="D1022" s="1" t="s">
        <v>2050</v>
      </c>
      <c r="E1022" s="1" t="s">
        <v>2051</v>
      </c>
      <c r="F1022" s="2">
        <v>289</v>
      </c>
      <c r="G1022" s="3">
        <v>55</v>
      </c>
      <c r="H1022" s="4" t="str">
        <f>IF(AND(A1022="Yes",C1022="School"),COUNTIFS($A$6:A1022,"Yes",$C$6:C1022,"School"),"")</f>
        <v/>
      </c>
    </row>
    <row r="1023" spans="1:8">
      <c r="A1023" s="13"/>
      <c r="B1023" s="1" t="s">
        <v>2052</v>
      </c>
      <c r="C1023" s="1" t="s">
        <v>24</v>
      </c>
      <c r="D1023" s="1" t="s">
        <v>2052</v>
      </c>
      <c r="E1023" s="1" t="s">
        <v>2053</v>
      </c>
      <c r="F1023" s="2">
        <v>655</v>
      </c>
      <c r="G1023" s="3">
        <v>45.3</v>
      </c>
      <c r="H1023" s="4" t="str">
        <f>IF(AND(A1023="Yes",C1023="School"),COUNTIFS($A$6:A1023,"Yes",$C$6:C1023,"School"),"")</f>
        <v/>
      </c>
    </row>
    <row r="1024" spans="1:8">
      <c r="A1024" s="13"/>
      <c r="B1024" s="1" t="s">
        <v>2054</v>
      </c>
      <c r="C1024" s="1" t="s">
        <v>24</v>
      </c>
      <c r="D1024" s="1" t="s">
        <v>2054</v>
      </c>
      <c r="E1024" s="1" t="s">
        <v>2055</v>
      </c>
      <c r="F1024" s="2">
        <v>783</v>
      </c>
      <c r="G1024" s="3">
        <v>10.6</v>
      </c>
      <c r="H1024" s="4" t="str">
        <f>IF(AND(A1024="Yes",C1024="School"),COUNTIFS($A$6:A1024,"Yes",$C$6:C1024,"School"),"")</f>
        <v/>
      </c>
    </row>
    <row r="1025" spans="1:8">
      <c r="A1025" s="13"/>
      <c r="B1025" s="1" t="s">
        <v>2056</v>
      </c>
      <c r="C1025" s="1" t="s">
        <v>24</v>
      </c>
      <c r="D1025" s="1" t="s">
        <v>2056</v>
      </c>
      <c r="E1025" s="1" t="s">
        <v>2057</v>
      </c>
      <c r="F1025" s="2">
        <v>829</v>
      </c>
      <c r="G1025" s="3">
        <v>11.2</v>
      </c>
      <c r="H1025" s="4" t="str">
        <f>IF(AND(A1025="Yes",C1025="School"),COUNTIFS($A$6:A1025,"Yes",$C$6:C1025,"School"),"")</f>
        <v/>
      </c>
    </row>
    <row r="1026" spans="1:8">
      <c r="A1026" s="13"/>
      <c r="B1026" s="1" t="s">
        <v>2058</v>
      </c>
      <c r="C1026" s="1" t="s">
        <v>24</v>
      </c>
      <c r="D1026" s="1" t="s">
        <v>2058</v>
      </c>
      <c r="E1026" s="1" t="s">
        <v>2059</v>
      </c>
      <c r="F1026" s="2">
        <v>762</v>
      </c>
      <c r="G1026" s="3">
        <v>12.5</v>
      </c>
      <c r="H1026" s="4" t="str">
        <f>IF(AND(A1026="Yes",C1026="School"),COUNTIFS($A$6:A1026,"Yes",$C$6:C1026,"School"),"")</f>
        <v/>
      </c>
    </row>
    <row r="1027" spans="1:8">
      <c r="A1027" s="13"/>
      <c r="B1027" s="1" t="s">
        <v>2060</v>
      </c>
      <c r="C1027" s="1" t="s">
        <v>24</v>
      </c>
      <c r="D1027" s="1" t="s">
        <v>2060</v>
      </c>
      <c r="E1027" s="1" t="s">
        <v>2061</v>
      </c>
      <c r="F1027" s="2">
        <v>420</v>
      </c>
      <c r="G1027" s="3">
        <v>36.200000000000003</v>
      </c>
      <c r="H1027" s="4" t="str">
        <f>IF(AND(A1027="Yes",C1027="School"),COUNTIFS($A$6:A1027,"Yes",$C$6:C1027,"School"),"")</f>
        <v/>
      </c>
    </row>
    <row r="1028" spans="1:8">
      <c r="A1028" s="13"/>
      <c r="B1028" s="1" t="s">
        <v>2062</v>
      </c>
      <c r="C1028" s="1" t="s">
        <v>24</v>
      </c>
      <c r="D1028" s="1" t="s">
        <v>2062</v>
      </c>
      <c r="E1028" s="1" t="s">
        <v>2063</v>
      </c>
      <c r="F1028" s="2">
        <v>1069</v>
      </c>
      <c r="G1028" s="3">
        <v>28</v>
      </c>
      <c r="H1028" s="4" t="str">
        <f>IF(AND(A1028="Yes",C1028="School"),COUNTIFS($A$6:A1028,"Yes",$C$6:C1028,"School"),"")</f>
        <v/>
      </c>
    </row>
    <row r="1029" spans="1:8">
      <c r="A1029" s="13"/>
      <c r="B1029" s="1" t="s">
        <v>2064</v>
      </c>
      <c r="C1029" s="1" t="s">
        <v>24</v>
      </c>
      <c r="D1029" s="1" t="s">
        <v>2064</v>
      </c>
      <c r="E1029" s="1" t="s">
        <v>2065</v>
      </c>
      <c r="F1029" s="2">
        <v>1012</v>
      </c>
      <c r="G1029" s="3">
        <v>52.9</v>
      </c>
      <c r="H1029" s="4" t="str">
        <f>IF(AND(A1029="Yes",C1029="School"),COUNTIFS($A$6:A1029,"Yes",$C$6:C1029,"School"),"")</f>
        <v/>
      </c>
    </row>
    <row r="1030" spans="1:8">
      <c r="A1030" s="13"/>
      <c r="B1030" s="1" t="s">
        <v>2066</v>
      </c>
      <c r="C1030" s="1" t="s">
        <v>24</v>
      </c>
      <c r="D1030" s="1" t="s">
        <v>2066</v>
      </c>
      <c r="E1030" s="1" t="s">
        <v>2067</v>
      </c>
      <c r="F1030" s="2">
        <v>1111</v>
      </c>
      <c r="G1030" s="3">
        <v>25.4</v>
      </c>
      <c r="H1030" s="4" t="str">
        <f>IF(AND(A1030="Yes",C1030="School"),COUNTIFS($A$6:A1030,"Yes",$C$6:C1030,"School"),"")</f>
        <v/>
      </c>
    </row>
    <row r="1031" spans="1:8">
      <c r="A1031" s="13"/>
      <c r="B1031" s="1" t="s">
        <v>2068</v>
      </c>
      <c r="C1031" s="1" t="s">
        <v>24</v>
      </c>
      <c r="D1031" s="1" t="s">
        <v>2068</v>
      </c>
      <c r="E1031" s="1" t="s">
        <v>2069</v>
      </c>
      <c r="F1031" s="2">
        <v>814</v>
      </c>
      <c r="G1031" s="3">
        <v>35.299999999999997</v>
      </c>
      <c r="H1031" s="4" t="str">
        <f>IF(AND(A1031="Yes",C1031="School"),COUNTIFS($A$6:A1031,"Yes",$C$6:C1031,"School"),"")</f>
        <v/>
      </c>
    </row>
    <row r="1032" spans="1:8">
      <c r="A1032" s="13"/>
      <c r="B1032" s="1" t="s">
        <v>2070</v>
      </c>
      <c r="C1032" s="1" t="s">
        <v>24</v>
      </c>
      <c r="D1032" s="1" t="s">
        <v>2070</v>
      </c>
      <c r="E1032" s="1" t="s">
        <v>2071</v>
      </c>
      <c r="F1032" s="2">
        <v>716</v>
      </c>
      <c r="G1032" s="3">
        <v>89.5</v>
      </c>
      <c r="H1032" s="4" t="str">
        <f>IF(AND(A1032="Yes",C1032="School"),COUNTIFS($A$6:A1032,"Yes",$C$6:C1032,"School"),"")</f>
        <v/>
      </c>
    </row>
    <row r="1033" spans="1:8">
      <c r="A1033" s="13"/>
      <c r="B1033" s="1" t="s">
        <v>2072</v>
      </c>
      <c r="C1033" s="1" t="s">
        <v>24</v>
      </c>
      <c r="D1033" s="1" t="s">
        <v>2072</v>
      </c>
      <c r="E1033" s="1" t="s">
        <v>2073</v>
      </c>
      <c r="F1033" s="2">
        <v>191</v>
      </c>
      <c r="G1033" s="3">
        <v>42.4</v>
      </c>
      <c r="H1033" s="4" t="str">
        <f>IF(AND(A1033="Yes",C1033="School"),COUNTIFS($A$6:A1033,"Yes",$C$6:C1033,"School"),"")</f>
        <v/>
      </c>
    </row>
    <row r="1034" spans="1:8">
      <c r="A1034" s="13"/>
      <c r="B1034" s="1" t="s">
        <v>2074</v>
      </c>
      <c r="C1034" s="1" t="s">
        <v>24</v>
      </c>
      <c r="D1034" s="1" t="s">
        <v>2074</v>
      </c>
      <c r="E1034" s="1" t="s">
        <v>2075</v>
      </c>
      <c r="F1034" s="2">
        <v>1639</v>
      </c>
      <c r="G1034" s="3">
        <v>9.1999999999999993</v>
      </c>
      <c r="H1034" s="4" t="str">
        <f>IF(AND(A1034="Yes",C1034="School"),COUNTIFS($A$6:A1034,"Yes",$C$6:C1034,"School"),"")</f>
        <v/>
      </c>
    </row>
    <row r="1035" spans="1:8">
      <c r="A1035" s="13"/>
      <c r="B1035" s="1" t="s">
        <v>2076</v>
      </c>
      <c r="C1035" s="1" t="s">
        <v>40</v>
      </c>
      <c r="D1035" s="1" t="s">
        <v>41</v>
      </c>
      <c r="E1035" s="1" t="s">
        <v>2077</v>
      </c>
      <c r="F1035" s="2">
        <v>7847</v>
      </c>
      <c r="G1035" s="3">
        <v>55.7</v>
      </c>
      <c r="H1035" s="4" t="str">
        <f>IF(AND(A1035="Yes",C1035="School"),COUNTIFS($A$6:A1035,"Yes",$C$6:C1035,"School"),"")</f>
        <v/>
      </c>
    </row>
    <row r="1036" spans="1:8">
      <c r="A1036" s="13"/>
      <c r="B1036" s="1" t="s">
        <v>2076</v>
      </c>
      <c r="C1036" s="1" t="s">
        <v>24</v>
      </c>
      <c r="D1036" s="1" t="s">
        <v>2078</v>
      </c>
      <c r="E1036" s="1" t="s">
        <v>2079</v>
      </c>
      <c r="F1036" s="2">
        <v>590</v>
      </c>
      <c r="G1036" s="3">
        <v>61.4</v>
      </c>
      <c r="H1036" s="4" t="str">
        <f>IF(AND(A1036="Yes",C1036="School"),COUNTIFS($A$6:A1036,"Yes",$C$6:C1036,"School"),"")</f>
        <v/>
      </c>
    </row>
    <row r="1037" spans="1:8">
      <c r="A1037" s="13"/>
      <c r="B1037" s="1" t="s">
        <v>2076</v>
      </c>
      <c r="C1037" s="1" t="s">
        <v>24</v>
      </c>
      <c r="D1037" s="1" t="s">
        <v>2080</v>
      </c>
      <c r="E1037" s="1" t="s">
        <v>2081</v>
      </c>
      <c r="F1037" s="2">
        <v>806</v>
      </c>
      <c r="G1037" s="3">
        <v>52.7</v>
      </c>
      <c r="H1037" s="4" t="str">
        <f>IF(AND(A1037="Yes",C1037="School"),COUNTIFS($A$6:A1037,"Yes",$C$6:C1037,"School"),"")</f>
        <v/>
      </c>
    </row>
    <row r="1038" spans="1:8">
      <c r="A1038" s="13"/>
      <c r="B1038" s="1" t="s">
        <v>2076</v>
      </c>
      <c r="C1038" s="1" t="s">
        <v>24</v>
      </c>
      <c r="D1038" s="1" t="s">
        <v>2082</v>
      </c>
      <c r="E1038" s="1" t="s">
        <v>2083</v>
      </c>
      <c r="F1038" s="2">
        <v>590</v>
      </c>
      <c r="G1038" s="3">
        <v>57.1</v>
      </c>
      <c r="H1038" s="4" t="str">
        <f>IF(AND(A1038="Yes",C1038="School"),COUNTIFS($A$6:A1038,"Yes",$C$6:C1038,"School"),"")</f>
        <v/>
      </c>
    </row>
    <row r="1039" spans="1:8">
      <c r="A1039" s="13"/>
      <c r="B1039" s="1" t="s">
        <v>2076</v>
      </c>
      <c r="C1039" s="1" t="s">
        <v>24</v>
      </c>
      <c r="D1039" s="1" t="s">
        <v>2084</v>
      </c>
      <c r="E1039" s="1" t="s">
        <v>2085</v>
      </c>
      <c r="F1039" s="2">
        <v>545</v>
      </c>
      <c r="G1039" s="3">
        <v>46.4</v>
      </c>
      <c r="H1039" s="4" t="str">
        <f>IF(AND(A1039="Yes",C1039="School"),COUNTIFS($A$6:A1039,"Yes",$C$6:C1039,"School"),"")</f>
        <v/>
      </c>
    </row>
    <row r="1040" spans="1:8">
      <c r="A1040" s="13"/>
      <c r="B1040" s="1" t="s">
        <v>2076</v>
      </c>
      <c r="C1040" s="1" t="s">
        <v>24</v>
      </c>
      <c r="D1040" s="1" t="s">
        <v>2086</v>
      </c>
      <c r="E1040" s="1" t="s">
        <v>2087</v>
      </c>
      <c r="F1040" s="2">
        <v>504</v>
      </c>
      <c r="G1040" s="3">
        <v>56.3</v>
      </c>
      <c r="H1040" s="4" t="str">
        <f>IF(AND(A1040="Yes",C1040="School"),COUNTIFS($A$6:A1040,"Yes",$C$6:C1040,"School"),"")</f>
        <v/>
      </c>
    </row>
    <row r="1041" spans="1:8">
      <c r="A1041" s="13"/>
      <c r="B1041" s="1" t="s">
        <v>2076</v>
      </c>
      <c r="C1041" s="1" t="s">
        <v>24</v>
      </c>
      <c r="D1041" s="1" t="s">
        <v>2088</v>
      </c>
      <c r="E1041" s="1" t="s">
        <v>2089</v>
      </c>
      <c r="F1041" s="2">
        <v>174</v>
      </c>
      <c r="G1041" s="3">
        <v>35.6</v>
      </c>
      <c r="H1041" s="4" t="str">
        <f>IF(AND(A1041="Yes",C1041="School"),COUNTIFS($A$6:A1041,"Yes",$C$6:C1041,"School"),"")</f>
        <v/>
      </c>
    </row>
    <row r="1042" spans="1:8">
      <c r="A1042" s="13"/>
      <c r="B1042" s="1" t="s">
        <v>2076</v>
      </c>
      <c r="C1042" s="1" t="s">
        <v>24</v>
      </c>
      <c r="D1042" s="1" t="s">
        <v>2090</v>
      </c>
      <c r="E1042" s="1" t="s">
        <v>2091</v>
      </c>
      <c r="F1042" s="2">
        <v>471</v>
      </c>
      <c r="G1042" s="3">
        <v>73.5</v>
      </c>
      <c r="H1042" s="4" t="str">
        <f>IF(AND(A1042="Yes",C1042="School"),COUNTIFS($A$6:A1042,"Yes",$C$6:C1042,"School"),"")</f>
        <v/>
      </c>
    </row>
    <row r="1043" spans="1:8">
      <c r="A1043" s="13"/>
      <c r="B1043" s="1" t="s">
        <v>2076</v>
      </c>
      <c r="C1043" s="1" t="s">
        <v>24</v>
      </c>
      <c r="D1043" s="1" t="s">
        <v>2092</v>
      </c>
      <c r="E1043" s="1" t="s">
        <v>2093</v>
      </c>
      <c r="F1043" s="2">
        <v>1017</v>
      </c>
      <c r="G1043" s="3">
        <v>45.3</v>
      </c>
      <c r="H1043" s="4" t="str">
        <f>IF(AND(A1043="Yes",C1043="School"),COUNTIFS($A$6:A1043,"Yes",$C$6:C1043,"School"),"")</f>
        <v/>
      </c>
    </row>
    <row r="1044" spans="1:8">
      <c r="A1044" s="13"/>
      <c r="B1044" s="1" t="s">
        <v>2076</v>
      </c>
      <c r="C1044" s="1" t="s">
        <v>24</v>
      </c>
      <c r="D1044" s="1" t="s">
        <v>2094</v>
      </c>
      <c r="E1044" s="1" t="s">
        <v>2095</v>
      </c>
      <c r="F1044" s="2">
        <v>236</v>
      </c>
      <c r="G1044" s="3">
        <v>67.8</v>
      </c>
      <c r="H1044" s="4" t="str">
        <f>IF(AND(A1044="Yes",C1044="School"),COUNTIFS($A$6:A1044,"Yes",$C$6:C1044,"School"),"")</f>
        <v/>
      </c>
    </row>
    <row r="1045" spans="1:8">
      <c r="A1045" s="13"/>
      <c r="B1045" s="1" t="s">
        <v>2076</v>
      </c>
      <c r="C1045" s="1" t="s">
        <v>24</v>
      </c>
      <c r="D1045" s="1" t="s">
        <v>2096</v>
      </c>
      <c r="E1045" s="1" t="s">
        <v>2097</v>
      </c>
      <c r="F1045" s="2">
        <v>308</v>
      </c>
      <c r="G1045" s="3">
        <v>72.099999999999994</v>
      </c>
      <c r="H1045" s="4" t="str">
        <f>IF(AND(A1045="Yes",C1045="School"),COUNTIFS($A$6:A1045,"Yes",$C$6:C1045,"School"),"")</f>
        <v/>
      </c>
    </row>
    <row r="1046" spans="1:8">
      <c r="A1046" s="13"/>
      <c r="B1046" s="1" t="s">
        <v>2076</v>
      </c>
      <c r="C1046" s="1" t="s">
        <v>24</v>
      </c>
      <c r="D1046" s="1" t="s">
        <v>2098</v>
      </c>
      <c r="E1046" s="1" t="s">
        <v>2099</v>
      </c>
      <c r="F1046" s="2">
        <v>462</v>
      </c>
      <c r="G1046" s="3">
        <v>45.2</v>
      </c>
      <c r="H1046" s="4" t="str">
        <f>IF(AND(A1046="Yes",C1046="School"),COUNTIFS($A$6:A1046,"Yes",$C$6:C1046,"School"),"")</f>
        <v/>
      </c>
    </row>
    <row r="1047" spans="1:8">
      <c r="A1047" s="13"/>
      <c r="B1047" s="1" t="s">
        <v>2076</v>
      </c>
      <c r="C1047" s="1" t="s">
        <v>24</v>
      </c>
      <c r="D1047" s="1" t="s">
        <v>2100</v>
      </c>
      <c r="E1047" s="1" t="s">
        <v>2101</v>
      </c>
      <c r="F1047" s="2">
        <v>344</v>
      </c>
      <c r="G1047" s="3">
        <v>73.3</v>
      </c>
      <c r="H1047" s="4" t="str">
        <f>IF(AND(A1047="Yes",C1047="School"),COUNTIFS($A$6:A1047,"Yes",$C$6:C1047,"School"),"")</f>
        <v/>
      </c>
    </row>
    <row r="1048" spans="1:8">
      <c r="A1048" s="13"/>
      <c r="B1048" s="1" t="s">
        <v>2076</v>
      </c>
      <c r="C1048" s="1" t="s">
        <v>24</v>
      </c>
      <c r="D1048" s="1" t="s">
        <v>2102</v>
      </c>
      <c r="E1048" s="1" t="s">
        <v>2103</v>
      </c>
      <c r="F1048" s="2">
        <v>576</v>
      </c>
      <c r="G1048" s="3">
        <v>56.3</v>
      </c>
      <c r="H1048" s="4" t="str">
        <f>IF(AND(A1048="Yes",C1048="School"),COUNTIFS($A$6:A1048,"Yes",$C$6:C1048,"School"),"")</f>
        <v/>
      </c>
    </row>
    <row r="1049" spans="1:8">
      <c r="A1049" s="13"/>
      <c r="B1049" s="1" t="s">
        <v>2076</v>
      </c>
      <c r="C1049" s="1" t="s">
        <v>24</v>
      </c>
      <c r="D1049" s="1" t="s">
        <v>2104</v>
      </c>
      <c r="E1049" s="1" t="s">
        <v>2105</v>
      </c>
      <c r="F1049" s="2">
        <v>357</v>
      </c>
      <c r="G1049" s="3">
        <v>63</v>
      </c>
      <c r="H1049" s="4" t="str">
        <f>IF(AND(A1049="Yes",C1049="School"),COUNTIFS($A$6:A1049,"Yes",$C$6:C1049,"School"),"")</f>
        <v/>
      </c>
    </row>
    <row r="1050" spans="1:8">
      <c r="A1050" s="13"/>
      <c r="B1050" s="1" t="s">
        <v>2076</v>
      </c>
      <c r="C1050" s="1" t="s">
        <v>24</v>
      </c>
      <c r="D1050" s="1" t="s">
        <v>2106</v>
      </c>
      <c r="E1050" s="1" t="s">
        <v>2107</v>
      </c>
      <c r="F1050" s="2">
        <v>407</v>
      </c>
      <c r="G1050" s="3">
        <v>65.8</v>
      </c>
      <c r="H1050" s="4" t="str">
        <f>IF(AND(A1050="Yes",C1050="School"),COUNTIFS($A$6:A1050,"Yes",$C$6:C1050,"School"),"")</f>
        <v/>
      </c>
    </row>
    <row r="1051" spans="1:8">
      <c r="A1051" s="13"/>
      <c r="B1051" s="1" t="s">
        <v>2076</v>
      </c>
      <c r="C1051" s="1" t="s">
        <v>24</v>
      </c>
      <c r="D1051" s="1" t="s">
        <v>2108</v>
      </c>
      <c r="E1051" s="1" t="s">
        <v>2109</v>
      </c>
      <c r="F1051" s="2">
        <v>460</v>
      </c>
      <c r="G1051" s="3">
        <v>39.799999999999997</v>
      </c>
      <c r="H1051" s="4" t="str">
        <f>IF(AND(A1051="Yes",C1051="School"),COUNTIFS($A$6:A1051,"Yes",$C$6:C1051,"School"),"")</f>
        <v/>
      </c>
    </row>
    <row r="1052" spans="1:8">
      <c r="A1052" s="13"/>
      <c r="B1052" s="1" t="s">
        <v>2110</v>
      </c>
      <c r="C1052" s="1" t="s">
        <v>40</v>
      </c>
      <c r="D1052" s="1" t="s">
        <v>41</v>
      </c>
      <c r="E1052" s="1" t="s">
        <v>2111</v>
      </c>
      <c r="F1052" s="2">
        <v>30166</v>
      </c>
      <c r="G1052" s="3">
        <v>57.4</v>
      </c>
      <c r="H1052" s="4" t="str">
        <f>IF(AND(A1052="Yes",C1052="School"),COUNTIFS($A$6:A1052,"Yes",$C$6:C1052,"School"),"")</f>
        <v/>
      </c>
    </row>
    <row r="1053" spans="1:8">
      <c r="A1053" s="13"/>
      <c r="B1053" s="1" t="s">
        <v>2110</v>
      </c>
      <c r="C1053" s="1" t="s">
        <v>24</v>
      </c>
      <c r="D1053" s="1" t="s">
        <v>2112</v>
      </c>
      <c r="E1053" s="1" t="s">
        <v>2113</v>
      </c>
      <c r="F1053" s="2">
        <v>1330</v>
      </c>
      <c r="G1053" s="3">
        <v>62.8</v>
      </c>
      <c r="H1053" s="4" t="str">
        <f>IF(AND(A1053="Yes",C1053="School"),COUNTIFS($A$6:A1053,"Yes",$C$6:C1053,"School"),"")</f>
        <v/>
      </c>
    </row>
    <row r="1054" spans="1:8">
      <c r="A1054" s="13"/>
      <c r="B1054" s="1" t="s">
        <v>2110</v>
      </c>
      <c r="C1054" s="1" t="s">
        <v>24</v>
      </c>
      <c r="D1054" s="1" t="s">
        <v>2114</v>
      </c>
      <c r="E1054" s="1" t="s">
        <v>2115</v>
      </c>
      <c r="F1054" s="2">
        <v>704</v>
      </c>
      <c r="G1054" s="3">
        <v>30.1</v>
      </c>
      <c r="H1054" s="4" t="str">
        <f>IF(AND(A1054="Yes",C1054="School"),COUNTIFS($A$6:A1054,"Yes",$C$6:C1054,"School"),"")</f>
        <v/>
      </c>
    </row>
    <row r="1055" spans="1:8">
      <c r="A1055" s="13"/>
      <c r="B1055" s="1" t="s">
        <v>2110</v>
      </c>
      <c r="C1055" s="1" t="s">
        <v>24</v>
      </c>
      <c r="D1055" s="1" t="s">
        <v>2116</v>
      </c>
      <c r="E1055" s="1" t="s">
        <v>2117</v>
      </c>
      <c r="F1055" s="2">
        <v>731</v>
      </c>
      <c r="G1055" s="3">
        <v>40.4</v>
      </c>
      <c r="H1055" s="4" t="str">
        <f>IF(AND(A1055="Yes",C1055="School"),COUNTIFS($A$6:A1055,"Yes",$C$6:C1055,"School"),"")</f>
        <v/>
      </c>
    </row>
    <row r="1056" spans="1:8">
      <c r="A1056" s="13"/>
      <c r="B1056" s="1" t="s">
        <v>2110</v>
      </c>
      <c r="C1056" s="1" t="s">
        <v>24</v>
      </c>
      <c r="D1056" s="1" t="s">
        <v>2118</v>
      </c>
      <c r="E1056" s="1" t="s">
        <v>2119</v>
      </c>
      <c r="F1056" s="2">
        <v>454</v>
      </c>
      <c r="G1056" s="3">
        <v>74.2</v>
      </c>
      <c r="H1056" s="4" t="str">
        <f>IF(AND(A1056="Yes",C1056="School"),COUNTIFS($A$6:A1056,"Yes",$C$6:C1056,"School"),"")</f>
        <v/>
      </c>
    </row>
    <row r="1057" spans="1:8">
      <c r="A1057" s="13"/>
      <c r="B1057" s="1" t="s">
        <v>2110</v>
      </c>
      <c r="C1057" s="1" t="s">
        <v>24</v>
      </c>
      <c r="D1057" s="1" t="s">
        <v>2120</v>
      </c>
      <c r="E1057" s="1" t="s">
        <v>2121</v>
      </c>
      <c r="F1057" s="2">
        <v>544</v>
      </c>
      <c r="G1057" s="3">
        <v>64.7</v>
      </c>
      <c r="H1057" s="4" t="str">
        <f>IF(AND(A1057="Yes",C1057="School"),COUNTIFS($A$6:A1057,"Yes",$C$6:C1057,"School"),"")</f>
        <v/>
      </c>
    </row>
    <row r="1058" spans="1:8">
      <c r="A1058" s="13"/>
      <c r="B1058" s="1" t="s">
        <v>2110</v>
      </c>
      <c r="C1058" s="1" t="s">
        <v>24</v>
      </c>
      <c r="D1058" s="1" t="s">
        <v>2122</v>
      </c>
      <c r="E1058" s="1" t="s">
        <v>2123</v>
      </c>
      <c r="F1058" s="2">
        <v>465</v>
      </c>
      <c r="G1058" s="3">
        <v>72.5</v>
      </c>
      <c r="H1058" s="4" t="str">
        <f>IF(AND(A1058="Yes",C1058="School"),COUNTIFS($A$6:A1058,"Yes",$C$6:C1058,"School"),"")</f>
        <v/>
      </c>
    </row>
    <row r="1059" spans="1:8">
      <c r="A1059" s="13"/>
      <c r="B1059" s="1" t="s">
        <v>2110</v>
      </c>
      <c r="C1059" s="1" t="s">
        <v>24</v>
      </c>
      <c r="D1059" s="1" t="s">
        <v>2124</v>
      </c>
      <c r="E1059" s="1" t="s">
        <v>2125</v>
      </c>
      <c r="F1059" s="2">
        <v>429</v>
      </c>
      <c r="G1059" s="3">
        <v>77.400000000000006</v>
      </c>
      <c r="H1059" s="4" t="str">
        <f>IF(AND(A1059="Yes",C1059="School"),COUNTIFS($A$6:A1059,"Yes",$C$6:C1059,"School"),"")</f>
        <v/>
      </c>
    </row>
    <row r="1060" spans="1:8">
      <c r="A1060" s="13"/>
      <c r="B1060" s="1" t="s">
        <v>2110</v>
      </c>
      <c r="C1060" s="1" t="s">
        <v>24</v>
      </c>
      <c r="D1060" s="1" t="s">
        <v>2126</v>
      </c>
      <c r="E1060" s="1" t="s">
        <v>2127</v>
      </c>
      <c r="F1060" s="2">
        <v>475</v>
      </c>
      <c r="G1060" s="3">
        <v>68.599999999999994</v>
      </c>
      <c r="H1060" s="4" t="str">
        <f>IF(AND(A1060="Yes",C1060="School"),COUNTIFS($A$6:A1060,"Yes",$C$6:C1060,"School"),"")</f>
        <v/>
      </c>
    </row>
    <row r="1061" spans="1:8">
      <c r="A1061" s="13"/>
      <c r="B1061" s="1" t="s">
        <v>2110</v>
      </c>
      <c r="C1061" s="1" t="s">
        <v>24</v>
      </c>
      <c r="D1061" s="1" t="s">
        <v>2128</v>
      </c>
      <c r="E1061" s="1" t="s">
        <v>2129</v>
      </c>
      <c r="F1061" s="2">
        <v>676</v>
      </c>
      <c r="G1061" s="3">
        <v>67.5</v>
      </c>
      <c r="H1061" s="4" t="str">
        <f>IF(AND(A1061="Yes",C1061="School"),COUNTIFS($A$6:A1061,"Yes",$C$6:C1061,"School"),"")</f>
        <v/>
      </c>
    </row>
    <row r="1062" spans="1:8">
      <c r="A1062" s="13"/>
      <c r="B1062" s="1" t="s">
        <v>2110</v>
      </c>
      <c r="C1062" s="1" t="s">
        <v>24</v>
      </c>
      <c r="D1062" s="1" t="s">
        <v>2130</v>
      </c>
      <c r="E1062" s="1" t="s">
        <v>2131</v>
      </c>
      <c r="F1062" s="2">
        <v>259</v>
      </c>
      <c r="G1062" s="3">
        <v>56.4</v>
      </c>
      <c r="H1062" s="4" t="str">
        <f>IF(AND(A1062="Yes",C1062="School"),COUNTIFS($A$6:A1062,"Yes",$C$6:C1062,"School"),"")</f>
        <v/>
      </c>
    </row>
    <row r="1063" spans="1:8">
      <c r="A1063" s="13"/>
      <c r="B1063" s="1" t="s">
        <v>2110</v>
      </c>
      <c r="C1063" s="1" t="s">
        <v>24</v>
      </c>
      <c r="D1063" s="1" t="s">
        <v>2132</v>
      </c>
      <c r="E1063" s="1" t="s">
        <v>2133</v>
      </c>
      <c r="F1063" s="2">
        <v>364</v>
      </c>
      <c r="G1063" s="3">
        <v>73.599999999999994</v>
      </c>
      <c r="H1063" s="4" t="str">
        <f>IF(AND(A1063="Yes",C1063="School"),COUNTIFS($A$6:A1063,"Yes",$C$6:C1063,"School"),"")</f>
        <v/>
      </c>
    </row>
    <row r="1064" spans="1:8">
      <c r="A1064" s="13"/>
      <c r="B1064" s="1" t="s">
        <v>2110</v>
      </c>
      <c r="C1064" s="1" t="s">
        <v>24</v>
      </c>
      <c r="D1064" s="1" t="s">
        <v>2134</v>
      </c>
      <c r="E1064" s="1" t="s">
        <v>2135</v>
      </c>
      <c r="F1064" s="2">
        <v>367</v>
      </c>
      <c r="G1064" s="3">
        <v>61.6</v>
      </c>
      <c r="H1064" s="4" t="str">
        <f>IF(AND(A1064="Yes",C1064="School"),COUNTIFS($A$6:A1064,"Yes",$C$6:C1064,"School"),"")</f>
        <v/>
      </c>
    </row>
    <row r="1065" spans="1:8">
      <c r="A1065" s="13"/>
      <c r="B1065" s="1" t="s">
        <v>2110</v>
      </c>
      <c r="C1065" s="1" t="s">
        <v>24</v>
      </c>
      <c r="D1065" s="1" t="s">
        <v>2136</v>
      </c>
      <c r="E1065" s="1" t="s">
        <v>2137</v>
      </c>
      <c r="F1065" s="2">
        <v>471</v>
      </c>
      <c r="G1065" s="3">
        <v>54.4</v>
      </c>
      <c r="H1065" s="4" t="str">
        <f>IF(AND(A1065="Yes",C1065="School"),COUNTIFS($A$6:A1065,"Yes",$C$6:C1065,"School"),"")</f>
        <v/>
      </c>
    </row>
    <row r="1066" spans="1:8">
      <c r="A1066" s="13"/>
      <c r="B1066" s="1" t="s">
        <v>2110</v>
      </c>
      <c r="C1066" s="1" t="s">
        <v>24</v>
      </c>
      <c r="D1066" s="1" t="s">
        <v>2138</v>
      </c>
      <c r="E1066" s="1" t="s">
        <v>2139</v>
      </c>
      <c r="F1066" s="2">
        <v>443</v>
      </c>
      <c r="G1066" s="3">
        <v>61.6</v>
      </c>
      <c r="H1066" s="4" t="str">
        <f>IF(AND(A1066="Yes",C1066="School"),COUNTIFS($A$6:A1066,"Yes",$C$6:C1066,"School"),"")</f>
        <v/>
      </c>
    </row>
    <row r="1067" spans="1:8">
      <c r="A1067" s="13"/>
      <c r="B1067" s="1" t="s">
        <v>2110</v>
      </c>
      <c r="C1067" s="1" t="s">
        <v>24</v>
      </c>
      <c r="D1067" s="1" t="s">
        <v>2140</v>
      </c>
      <c r="E1067" s="1" t="s">
        <v>2141</v>
      </c>
      <c r="F1067" s="2">
        <v>953</v>
      </c>
      <c r="G1067" s="3">
        <v>46.7</v>
      </c>
      <c r="H1067" s="4" t="str">
        <f>IF(AND(A1067="Yes",C1067="School"),COUNTIFS($A$6:A1067,"Yes",$C$6:C1067,"School"),"")</f>
        <v/>
      </c>
    </row>
    <row r="1068" spans="1:8">
      <c r="A1068" s="13"/>
      <c r="B1068" s="1" t="s">
        <v>2110</v>
      </c>
      <c r="C1068" s="1" t="s">
        <v>24</v>
      </c>
      <c r="D1068" s="1" t="s">
        <v>2142</v>
      </c>
      <c r="E1068" s="1" t="s">
        <v>2143</v>
      </c>
      <c r="F1068" s="2">
        <v>842</v>
      </c>
      <c r="G1068" s="3">
        <v>43.2</v>
      </c>
      <c r="H1068" s="4" t="str">
        <f>IF(AND(A1068="Yes",C1068="School"),COUNTIFS($A$6:A1068,"Yes",$C$6:C1068,"School"),"")</f>
        <v/>
      </c>
    </row>
    <row r="1069" spans="1:8">
      <c r="A1069" s="13"/>
      <c r="B1069" s="1" t="s">
        <v>2110</v>
      </c>
      <c r="C1069" s="1" t="s">
        <v>24</v>
      </c>
      <c r="D1069" s="1" t="s">
        <v>2144</v>
      </c>
      <c r="E1069" s="1" t="s">
        <v>2145</v>
      </c>
      <c r="F1069" s="2">
        <v>373</v>
      </c>
      <c r="G1069" s="3">
        <v>73.5</v>
      </c>
      <c r="H1069" s="4" t="str">
        <f>IF(AND(A1069="Yes",C1069="School"),COUNTIFS($A$6:A1069,"Yes",$C$6:C1069,"School"),"")</f>
        <v/>
      </c>
    </row>
    <row r="1070" spans="1:8">
      <c r="A1070" s="13"/>
      <c r="B1070" s="1" t="s">
        <v>2110</v>
      </c>
      <c r="C1070" s="1" t="s">
        <v>24</v>
      </c>
      <c r="D1070" s="1" t="s">
        <v>2146</v>
      </c>
      <c r="E1070" s="1" t="s">
        <v>2147</v>
      </c>
      <c r="F1070" s="2">
        <v>1066</v>
      </c>
      <c r="G1070" s="3">
        <v>45.7</v>
      </c>
      <c r="H1070" s="4" t="str">
        <f>IF(AND(A1070="Yes",C1070="School"),COUNTIFS($A$6:A1070,"Yes",$C$6:C1070,"School"),"")</f>
        <v/>
      </c>
    </row>
    <row r="1071" spans="1:8">
      <c r="A1071" s="13"/>
      <c r="B1071" s="1" t="s">
        <v>2110</v>
      </c>
      <c r="C1071" s="1" t="s">
        <v>24</v>
      </c>
      <c r="D1071" s="1" t="s">
        <v>2148</v>
      </c>
      <c r="E1071" s="1" t="s">
        <v>2149</v>
      </c>
      <c r="F1071" s="2">
        <v>576</v>
      </c>
      <c r="G1071" s="3">
        <v>70.8</v>
      </c>
      <c r="H1071" s="4" t="str">
        <f>IF(AND(A1071="Yes",C1071="School"),COUNTIFS($A$6:A1071,"Yes",$C$6:C1071,"School"),"")</f>
        <v/>
      </c>
    </row>
    <row r="1072" spans="1:8">
      <c r="A1072" s="13"/>
      <c r="B1072" s="1" t="s">
        <v>2110</v>
      </c>
      <c r="C1072" s="1" t="s">
        <v>24</v>
      </c>
      <c r="D1072" s="1" t="s">
        <v>2150</v>
      </c>
      <c r="E1072" s="1" t="s">
        <v>2151</v>
      </c>
      <c r="F1072" s="2">
        <v>232</v>
      </c>
      <c r="G1072" s="3">
        <v>45.3</v>
      </c>
      <c r="H1072" s="4" t="str">
        <f>IF(AND(A1072="Yes",C1072="School"),COUNTIFS($A$6:A1072,"Yes",$C$6:C1072,"School"),"")</f>
        <v/>
      </c>
    </row>
    <row r="1073" spans="1:8">
      <c r="A1073" s="13"/>
      <c r="B1073" s="1" t="s">
        <v>2110</v>
      </c>
      <c r="C1073" s="1" t="s">
        <v>24</v>
      </c>
      <c r="D1073" s="1" t="s">
        <v>2152</v>
      </c>
      <c r="E1073" s="1" t="s">
        <v>2153</v>
      </c>
      <c r="F1073" s="2">
        <v>152</v>
      </c>
      <c r="G1073" s="3">
        <v>59.2</v>
      </c>
      <c r="H1073" s="4" t="str">
        <f>IF(AND(A1073="Yes",C1073="School"),COUNTIFS($A$6:A1073,"Yes",$C$6:C1073,"School"),"")</f>
        <v/>
      </c>
    </row>
    <row r="1074" spans="1:8">
      <c r="A1074" s="13"/>
      <c r="B1074" s="1" t="s">
        <v>2110</v>
      </c>
      <c r="C1074" s="1" t="s">
        <v>24</v>
      </c>
      <c r="D1074" s="1" t="s">
        <v>2154</v>
      </c>
      <c r="E1074" s="1" t="s">
        <v>2155</v>
      </c>
      <c r="F1074" s="2">
        <v>216</v>
      </c>
      <c r="G1074" s="3">
        <v>61.1</v>
      </c>
      <c r="H1074" s="4" t="str">
        <f>IF(AND(A1074="Yes",C1074="School"),COUNTIFS($A$6:A1074,"Yes",$C$6:C1074,"School"),"")</f>
        <v/>
      </c>
    </row>
    <row r="1075" spans="1:8">
      <c r="A1075" s="13"/>
      <c r="B1075" s="1" t="s">
        <v>2110</v>
      </c>
      <c r="C1075" s="1" t="s">
        <v>24</v>
      </c>
      <c r="D1075" s="1" t="s">
        <v>2156</v>
      </c>
      <c r="E1075" s="1" t="s">
        <v>2157</v>
      </c>
      <c r="F1075" s="2">
        <v>639</v>
      </c>
      <c r="G1075" s="3">
        <v>68.900000000000006</v>
      </c>
      <c r="H1075" s="4" t="str">
        <f>IF(AND(A1075="Yes",C1075="School"),COUNTIFS($A$6:A1075,"Yes",$C$6:C1075,"School"),"")</f>
        <v/>
      </c>
    </row>
    <row r="1076" spans="1:8">
      <c r="A1076" s="13"/>
      <c r="B1076" s="1" t="s">
        <v>2110</v>
      </c>
      <c r="C1076" s="1" t="s">
        <v>24</v>
      </c>
      <c r="D1076" s="1" t="s">
        <v>2158</v>
      </c>
      <c r="E1076" s="1" t="s">
        <v>2159</v>
      </c>
      <c r="F1076" s="2">
        <v>359</v>
      </c>
      <c r="G1076" s="3">
        <v>40.700000000000003</v>
      </c>
      <c r="H1076" s="4" t="str">
        <f>IF(AND(A1076="Yes",C1076="School"),COUNTIFS($A$6:A1076,"Yes",$C$6:C1076,"School"),"")</f>
        <v/>
      </c>
    </row>
    <row r="1077" spans="1:8">
      <c r="A1077" s="13"/>
      <c r="B1077" s="1" t="s">
        <v>2110</v>
      </c>
      <c r="C1077" s="1" t="s">
        <v>24</v>
      </c>
      <c r="D1077" s="1" t="s">
        <v>2160</v>
      </c>
      <c r="E1077" s="1" t="s">
        <v>2161</v>
      </c>
      <c r="F1077" s="2">
        <v>549</v>
      </c>
      <c r="G1077" s="3">
        <v>36.1</v>
      </c>
      <c r="H1077" s="4" t="str">
        <f>IF(AND(A1077="Yes",C1077="School"),COUNTIFS($A$6:A1077,"Yes",$C$6:C1077,"School"),"")</f>
        <v/>
      </c>
    </row>
    <row r="1078" spans="1:8">
      <c r="A1078" s="13"/>
      <c r="B1078" s="1" t="s">
        <v>2110</v>
      </c>
      <c r="C1078" s="1" t="s">
        <v>24</v>
      </c>
      <c r="D1078" s="1" t="s">
        <v>2162</v>
      </c>
      <c r="E1078" s="1" t="s">
        <v>2163</v>
      </c>
      <c r="F1078" s="2">
        <v>593</v>
      </c>
      <c r="G1078" s="3">
        <v>64.099999999999994</v>
      </c>
      <c r="H1078" s="4" t="str">
        <f>IF(AND(A1078="Yes",C1078="School"),COUNTIFS($A$6:A1078,"Yes",$C$6:C1078,"School"),"")</f>
        <v/>
      </c>
    </row>
    <row r="1079" spans="1:8">
      <c r="A1079" s="13"/>
      <c r="B1079" s="1" t="s">
        <v>2110</v>
      </c>
      <c r="C1079" s="1" t="s">
        <v>24</v>
      </c>
      <c r="D1079" s="1" t="s">
        <v>2164</v>
      </c>
      <c r="E1079" s="1" t="s">
        <v>2165</v>
      </c>
      <c r="F1079" s="2">
        <v>1132</v>
      </c>
      <c r="G1079" s="3">
        <v>68.599999999999994</v>
      </c>
      <c r="H1079" s="4" t="str">
        <f>IF(AND(A1079="Yes",C1079="School"),COUNTIFS($A$6:A1079,"Yes",$C$6:C1079,"School"),"")</f>
        <v/>
      </c>
    </row>
    <row r="1080" spans="1:8">
      <c r="A1080" s="13"/>
      <c r="B1080" s="1" t="s">
        <v>2110</v>
      </c>
      <c r="C1080" s="1" t="s">
        <v>24</v>
      </c>
      <c r="D1080" s="1" t="s">
        <v>2166</v>
      </c>
      <c r="E1080" s="1" t="s">
        <v>2167</v>
      </c>
      <c r="F1080" s="2">
        <v>510</v>
      </c>
      <c r="G1080" s="3">
        <v>56.1</v>
      </c>
      <c r="H1080" s="4" t="str">
        <f>IF(AND(A1080="Yes",C1080="School"),COUNTIFS($A$6:A1080,"Yes",$C$6:C1080,"School"),"")</f>
        <v/>
      </c>
    </row>
    <row r="1081" spans="1:8">
      <c r="A1081" s="13"/>
      <c r="B1081" s="1" t="s">
        <v>2110</v>
      </c>
      <c r="C1081" s="1" t="s">
        <v>24</v>
      </c>
      <c r="D1081" s="1" t="s">
        <v>2168</v>
      </c>
      <c r="E1081" s="1" t="s">
        <v>2169</v>
      </c>
      <c r="F1081" s="2">
        <v>344</v>
      </c>
      <c r="G1081" s="3">
        <v>32.6</v>
      </c>
      <c r="H1081" s="4" t="str">
        <f>IF(AND(A1081="Yes",C1081="School"),COUNTIFS($A$6:A1081,"Yes",$C$6:C1081,"School"),"")</f>
        <v/>
      </c>
    </row>
    <row r="1082" spans="1:8">
      <c r="A1082" s="13"/>
      <c r="B1082" s="1" t="s">
        <v>2110</v>
      </c>
      <c r="C1082" s="1" t="s">
        <v>24</v>
      </c>
      <c r="D1082" s="1" t="s">
        <v>2170</v>
      </c>
      <c r="E1082" s="1" t="s">
        <v>2171</v>
      </c>
      <c r="F1082" s="2">
        <v>395</v>
      </c>
      <c r="G1082" s="3">
        <v>57</v>
      </c>
      <c r="H1082" s="4" t="str">
        <f>IF(AND(A1082="Yes",C1082="School"),COUNTIFS($A$6:A1082,"Yes",$C$6:C1082,"School"),"")</f>
        <v/>
      </c>
    </row>
    <row r="1083" spans="1:8">
      <c r="A1083" s="13"/>
      <c r="B1083" s="1" t="s">
        <v>2110</v>
      </c>
      <c r="C1083" s="1" t="s">
        <v>24</v>
      </c>
      <c r="D1083" s="1" t="s">
        <v>2172</v>
      </c>
      <c r="E1083" s="1" t="s">
        <v>2173</v>
      </c>
      <c r="F1083" s="2">
        <v>329</v>
      </c>
      <c r="G1083" s="3">
        <v>55.6</v>
      </c>
      <c r="H1083" s="4" t="str">
        <f>IF(AND(A1083="Yes",C1083="School"),COUNTIFS($A$6:A1083,"Yes",$C$6:C1083,"School"),"")</f>
        <v/>
      </c>
    </row>
    <row r="1084" spans="1:8">
      <c r="A1084" s="13"/>
      <c r="B1084" s="1" t="s">
        <v>2110</v>
      </c>
      <c r="C1084" s="1" t="s">
        <v>24</v>
      </c>
      <c r="D1084" s="1" t="s">
        <v>2174</v>
      </c>
      <c r="E1084" s="1" t="s">
        <v>2175</v>
      </c>
      <c r="F1084" s="2">
        <v>469</v>
      </c>
      <c r="G1084" s="3">
        <v>75.3</v>
      </c>
      <c r="H1084" s="4" t="str">
        <f>IF(AND(A1084="Yes",C1084="School"),COUNTIFS($A$6:A1084,"Yes",$C$6:C1084,"School"),"")</f>
        <v/>
      </c>
    </row>
    <row r="1085" spans="1:8">
      <c r="A1085" s="13"/>
      <c r="B1085" s="1" t="s">
        <v>2110</v>
      </c>
      <c r="C1085" s="1" t="s">
        <v>24</v>
      </c>
      <c r="D1085" s="1" t="s">
        <v>2176</v>
      </c>
      <c r="E1085" s="1" t="s">
        <v>2177</v>
      </c>
      <c r="F1085" s="2">
        <v>406</v>
      </c>
      <c r="G1085" s="3">
        <v>62.3</v>
      </c>
      <c r="H1085" s="4" t="str">
        <f>IF(AND(A1085="Yes",C1085="School"),COUNTIFS($A$6:A1085,"Yes",$C$6:C1085,"School"),"")</f>
        <v/>
      </c>
    </row>
    <row r="1086" spans="1:8">
      <c r="A1086" s="13"/>
      <c r="B1086" s="1" t="s">
        <v>2110</v>
      </c>
      <c r="C1086" s="1" t="s">
        <v>24</v>
      </c>
      <c r="D1086" s="1" t="s">
        <v>2178</v>
      </c>
      <c r="E1086" s="1" t="s">
        <v>2179</v>
      </c>
      <c r="F1086" s="2">
        <v>180</v>
      </c>
      <c r="G1086" s="3">
        <v>42.8</v>
      </c>
      <c r="H1086" s="4" t="str">
        <f>IF(AND(A1086="Yes",C1086="School"),COUNTIFS($A$6:A1086,"Yes",$C$6:C1086,"School"),"")</f>
        <v/>
      </c>
    </row>
    <row r="1087" spans="1:8">
      <c r="A1087" s="13"/>
      <c r="B1087" s="1" t="s">
        <v>2110</v>
      </c>
      <c r="C1087" s="1" t="s">
        <v>24</v>
      </c>
      <c r="D1087" s="1" t="s">
        <v>2180</v>
      </c>
      <c r="E1087" s="1" t="s">
        <v>2181</v>
      </c>
      <c r="F1087" s="2">
        <v>587</v>
      </c>
      <c r="G1087" s="3">
        <v>46.2</v>
      </c>
      <c r="H1087" s="4" t="str">
        <f>IF(AND(A1087="Yes",C1087="School"),COUNTIFS($A$6:A1087,"Yes",$C$6:C1087,"School"),"")</f>
        <v/>
      </c>
    </row>
    <row r="1088" spans="1:8">
      <c r="A1088" s="13"/>
      <c r="B1088" s="1" t="s">
        <v>2110</v>
      </c>
      <c r="C1088" s="1" t="s">
        <v>24</v>
      </c>
      <c r="D1088" s="1" t="s">
        <v>2182</v>
      </c>
      <c r="E1088" s="1" t="s">
        <v>2183</v>
      </c>
      <c r="F1088" s="2">
        <v>602</v>
      </c>
      <c r="G1088" s="3">
        <v>34.6</v>
      </c>
      <c r="H1088" s="4" t="str">
        <f>IF(AND(A1088="Yes",C1088="School"),COUNTIFS($A$6:A1088,"Yes",$C$6:C1088,"School"),"")</f>
        <v/>
      </c>
    </row>
    <row r="1089" spans="1:8">
      <c r="A1089" s="13"/>
      <c r="B1089" s="1" t="s">
        <v>2110</v>
      </c>
      <c r="C1089" s="1" t="s">
        <v>24</v>
      </c>
      <c r="D1089" s="1" t="s">
        <v>2184</v>
      </c>
      <c r="E1089" s="1" t="s">
        <v>2185</v>
      </c>
      <c r="F1089" s="2">
        <v>346</v>
      </c>
      <c r="G1089" s="3">
        <v>63.9</v>
      </c>
      <c r="H1089" s="4" t="str">
        <f>IF(AND(A1089="Yes",C1089="School"),COUNTIFS($A$6:A1089,"Yes",$C$6:C1089,"School"),"")</f>
        <v/>
      </c>
    </row>
    <row r="1090" spans="1:8">
      <c r="A1090" s="13"/>
      <c r="B1090" s="1" t="s">
        <v>2110</v>
      </c>
      <c r="C1090" s="1" t="s">
        <v>24</v>
      </c>
      <c r="D1090" s="1" t="s">
        <v>2186</v>
      </c>
      <c r="E1090" s="1" t="s">
        <v>2187</v>
      </c>
      <c r="F1090" s="2">
        <v>986</v>
      </c>
      <c r="G1090" s="3">
        <v>58.6</v>
      </c>
      <c r="H1090" s="4" t="str">
        <f>IF(AND(A1090="Yes",C1090="School"),COUNTIFS($A$6:A1090,"Yes",$C$6:C1090,"School"),"")</f>
        <v/>
      </c>
    </row>
    <row r="1091" spans="1:8">
      <c r="A1091" s="13"/>
      <c r="B1091" s="1" t="s">
        <v>2110</v>
      </c>
      <c r="C1091" s="1" t="s">
        <v>24</v>
      </c>
      <c r="D1091" s="1" t="s">
        <v>1126</v>
      </c>
      <c r="E1091" s="1" t="s">
        <v>2188</v>
      </c>
      <c r="F1091" s="2">
        <v>494</v>
      </c>
      <c r="G1091" s="3">
        <v>50</v>
      </c>
      <c r="H1091" s="4" t="str">
        <f>IF(AND(A1091="Yes",C1091="School"),COUNTIFS($A$6:A1091,"Yes",$C$6:C1091,"School"),"")</f>
        <v/>
      </c>
    </row>
    <row r="1092" spans="1:8">
      <c r="A1092" s="13"/>
      <c r="B1092" s="1" t="s">
        <v>2110</v>
      </c>
      <c r="C1092" s="1" t="s">
        <v>24</v>
      </c>
      <c r="D1092" s="1" t="s">
        <v>2189</v>
      </c>
      <c r="E1092" s="1" t="s">
        <v>2190</v>
      </c>
      <c r="F1092" s="2">
        <v>785</v>
      </c>
      <c r="G1092" s="3">
        <v>71.8</v>
      </c>
      <c r="H1092" s="4" t="str">
        <f>IF(AND(A1092="Yes",C1092="School"),COUNTIFS($A$6:A1092,"Yes",$C$6:C1092,"School"),"")</f>
        <v/>
      </c>
    </row>
    <row r="1093" spans="1:8">
      <c r="A1093" s="13"/>
      <c r="B1093" s="1" t="s">
        <v>2110</v>
      </c>
      <c r="C1093" s="1" t="s">
        <v>24</v>
      </c>
      <c r="D1093" s="1" t="s">
        <v>2191</v>
      </c>
      <c r="E1093" s="1" t="s">
        <v>2192</v>
      </c>
      <c r="F1093" s="2">
        <v>461</v>
      </c>
      <c r="G1093" s="3">
        <v>56.6</v>
      </c>
      <c r="H1093" s="4" t="str">
        <f>IF(AND(A1093="Yes",C1093="School"),COUNTIFS($A$6:A1093,"Yes",$C$6:C1093,"School"),"")</f>
        <v/>
      </c>
    </row>
    <row r="1094" spans="1:8">
      <c r="A1094" s="13"/>
      <c r="B1094" s="1" t="s">
        <v>2110</v>
      </c>
      <c r="C1094" s="1" t="s">
        <v>24</v>
      </c>
      <c r="D1094" s="1" t="s">
        <v>2193</v>
      </c>
      <c r="E1094" s="1" t="s">
        <v>2194</v>
      </c>
      <c r="F1094" s="2">
        <v>529</v>
      </c>
      <c r="G1094" s="3">
        <v>69</v>
      </c>
      <c r="H1094" s="4" t="str">
        <f>IF(AND(A1094="Yes",C1094="School"),COUNTIFS($A$6:A1094,"Yes",$C$6:C1094,"School"),"")</f>
        <v/>
      </c>
    </row>
    <row r="1095" spans="1:8">
      <c r="A1095" s="13"/>
      <c r="B1095" s="1" t="s">
        <v>2110</v>
      </c>
      <c r="C1095" s="1" t="s">
        <v>24</v>
      </c>
      <c r="D1095" s="1" t="s">
        <v>2195</v>
      </c>
      <c r="E1095" s="1" t="s">
        <v>2196</v>
      </c>
      <c r="F1095" s="2">
        <v>1018</v>
      </c>
      <c r="G1095" s="3">
        <v>36.1</v>
      </c>
      <c r="H1095" s="4" t="str">
        <f>IF(AND(A1095="Yes",C1095="School"),COUNTIFS($A$6:A1095,"Yes",$C$6:C1095,"School"),"")</f>
        <v/>
      </c>
    </row>
    <row r="1096" spans="1:8">
      <c r="A1096" s="13"/>
      <c r="B1096" s="1" t="s">
        <v>2110</v>
      </c>
      <c r="C1096" s="1" t="s">
        <v>24</v>
      </c>
      <c r="D1096" s="1" t="s">
        <v>2197</v>
      </c>
      <c r="E1096" s="1" t="s">
        <v>2198</v>
      </c>
      <c r="F1096" s="2">
        <v>740</v>
      </c>
      <c r="G1096" s="3">
        <v>67.2</v>
      </c>
      <c r="H1096" s="4" t="str">
        <f>IF(AND(A1096="Yes",C1096="School"),COUNTIFS($A$6:A1096,"Yes",$C$6:C1096,"School"),"")</f>
        <v/>
      </c>
    </row>
    <row r="1097" spans="1:8">
      <c r="A1097" s="13"/>
      <c r="B1097" s="1" t="s">
        <v>2110</v>
      </c>
      <c r="C1097" s="1" t="s">
        <v>24</v>
      </c>
      <c r="D1097" s="1" t="s">
        <v>2199</v>
      </c>
      <c r="E1097" s="1" t="s">
        <v>2200</v>
      </c>
      <c r="F1097" s="2">
        <v>352</v>
      </c>
      <c r="G1097" s="3">
        <v>60.8</v>
      </c>
      <c r="H1097" s="4" t="str">
        <f>IF(AND(A1097="Yes",C1097="School"),COUNTIFS($A$6:A1097,"Yes",$C$6:C1097,"School"),"")</f>
        <v/>
      </c>
    </row>
    <row r="1098" spans="1:8">
      <c r="A1098" s="13"/>
      <c r="B1098" s="1" t="s">
        <v>2110</v>
      </c>
      <c r="C1098" s="1" t="s">
        <v>24</v>
      </c>
      <c r="D1098" s="1" t="s">
        <v>2201</v>
      </c>
      <c r="E1098" s="1" t="s">
        <v>2202</v>
      </c>
      <c r="F1098" s="2">
        <v>622</v>
      </c>
      <c r="G1098" s="3">
        <v>49.2</v>
      </c>
      <c r="H1098" s="4" t="str">
        <f>IF(AND(A1098="Yes",C1098="School"),COUNTIFS($A$6:A1098,"Yes",$C$6:C1098,"School"),"")</f>
        <v/>
      </c>
    </row>
    <row r="1099" spans="1:8">
      <c r="A1099" s="13"/>
      <c r="B1099" s="1" t="s">
        <v>2110</v>
      </c>
      <c r="C1099" s="1" t="s">
        <v>24</v>
      </c>
      <c r="D1099" s="1" t="s">
        <v>2203</v>
      </c>
      <c r="E1099" s="1" t="s">
        <v>2204</v>
      </c>
      <c r="F1099" s="2">
        <v>922</v>
      </c>
      <c r="G1099" s="3">
        <v>41.5</v>
      </c>
      <c r="H1099" s="4" t="str">
        <f>IF(AND(A1099="Yes",C1099="School"),COUNTIFS($A$6:A1099,"Yes",$C$6:C1099,"School"),"")</f>
        <v/>
      </c>
    </row>
    <row r="1100" spans="1:8">
      <c r="A1100" s="13"/>
      <c r="B1100" s="1" t="s">
        <v>2110</v>
      </c>
      <c r="C1100" s="1" t="s">
        <v>24</v>
      </c>
      <c r="D1100" s="1" t="s">
        <v>2205</v>
      </c>
      <c r="E1100" s="1" t="s">
        <v>2206</v>
      </c>
      <c r="F1100" s="2">
        <v>269</v>
      </c>
      <c r="G1100" s="3">
        <v>72.5</v>
      </c>
      <c r="H1100" s="4" t="str">
        <f>IF(AND(A1100="Yes",C1100="School"),COUNTIFS($A$6:A1100,"Yes",$C$6:C1100,"School"),"")</f>
        <v/>
      </c>
    </row>
    <row r="1101" spans="1:8">
      <c r="A1101" s="13"/>
      <c r="B1101" s="1" t="s">
        <v>2110</v>
      </c>
      <c r="C1101" s="1" t="s">
        <v>24</v>
      </c>
      <c r="D1101" s="1" t="s">
        <v>2207</v>
      </c>
      <c r="E1101" s="1" t="s">
        <v>2208</v>
      </c>
      <c r="F1101" s="2">
        <v>717</v>
      </c>
      <c r="G1101" s="3">
        <v>40.4</v>
      </c>
      <c r="H1101" s="4" t="str">
        <f>IF(AND(A1101="Yes",C1101="School"),COUNTIFS($A$6:A1101,"Yes",$C$6:C1101,"School"),"")</f>
        <v/>
      </c>
    </row>
    <row r="1102" spans="1:8">
      <c r="A1102" s="13"/>
      <c r="B1102" s="1" t="s">
        <v>2110</v>
      </c>
      <c r="C1102" s="1" t="s">
        <v>24</v>
      </c>
      <c r="D1102" s="1" t="s">
        <v>2209</v>
      </c>
      <c r="E1102" s="1" t="s">
        <v>2210</v>
      </c>
      <c r="F1102" s="2">
        <v>181</v>
      </c>
      <c r="G1102" s="3">
        <v>53.6</v>
      </c>
      <c r="H1102" s="4" t="str">
        <f>IF(AND(A1102="Yes",C1102="School"),COUNTIFS($A$6:A1102,"Yes",$C$6:C1102,"School"),"")</f>
        <v/>
      </c>
    </row>
    <row r="1103" spans="1:8">
      <c r="A1103" s="13"/>
      <c r="B1103" s="1" t="s">
        <v>2110</v>
      </c>
      <c r="C1103" s="1" t="s">
        <v>24</v>
      </c>
      <c r="D1103" s="1" t="s">
        <v>2211</v>
      </c>
      <c r="E1103" s="1" t="s">
        <v>2212</v>
      </c>
      <c r="F1103" s="2">
        <v>563</v>
      </c>
      <c r="G1103" s="3">
        <v>58.6</v>
      </c>
      <c r="H1103" s="4" t="str">
        <f>IF(AND(A1103="Yes",C1103="School"),COUNTIFS($A$6:A1103,"Yes",$C$6:C1103,"School"),"")</f>
        <v/>
      </c>
    </row>
    <row r="1104" spans="1:8">
      <c r="A1104" s="13"/>
      <c r="B1104" s="1" t="s">
        <v>2110</v>
      </c>
      <c r="C1104" s="1" t="s">
        <v>24</v>
      </c>
      <c r="D1104" s="1" t="s">
        <v>2213</v>
      </c>
      <c r="E1104" s="1" t="s">
        <v>2214</v>
      </c>
      <c r="F1104" s="2">
        <v>701</v>
      </c>
      <c r="G1104" s="3">
        <v>70.5</v>
      </c>
      <c r="H1104" s="4" t="str">
        <f>IF(AND(A1104="Yes",C1104="School"),COUNTIFS($A$6:A1104,"Yes",$C$6:C1104,"School"),"")</f>
        <v/>
      </c>
    </row>
    <row r="1105" spans="1:8">
      <c r="A1105" s="13"/>
      <c r="B1105" s="1" t="s">
        <v>2110</v>
      </c>
      <c r="C1105" s="1" t="s">
        <v>24</v>
      </c>
      <c r="D1105" s="1" t="s">
        <v>2215</v>
      </c>
      <c r="E1105" s="1" t="s">
        <v>2216</v>
      </c>
      <c r="F1105" s="2">
        <v>214</v>
      </c>
      <c r="G1105" s="3">
        <v>86.4</v>
      </c>
      <c r="H1105" s="4" t="str">
        <f>IF(AND(A1105="Yes",C1105="School"),COUNTIFS($A$6:A1105,"Yes",$C$6:C1105,"School"),"")</f>
        <v/>
      </c>
    </row>
    <row r="1106" spans="1:8">
      <c r="A1106" s="13"/>
      <c r="B1106" s="1" t="s">
        <v>2110</v>
      </c>
      <c r="C1106" s="1" t="s">
        <v>24</v>
      </c>
      <c r="D1106" s="1" t="s">
        <v>2217</v>
      </c>
      <c r="E1106" s="1" t="s">
        <v>2218</v>
      </c>
      <c r="F1106" s="2">
        <v>168</v>
      </c>
      <c r="G1106" s="3">
        <v>82.1</v>
      </c>
      <c r="H1106" s="4" t="str">
        <f>IF(AND(A1106="Yes",C1106="School"),COUNTIFS($A$6:A1106,"Yes",$C$6:C1106,"School"),"")</f>
        <v/>
      </c>
    </row>
    <row r="1107" spans="1:8">
      <c r="A1107" s="13"/>
      <c r="B1107" s="1" t="s">
        <v>2110</v>
      </c>
      <c r="C1107" s="1" t="s">
        <v>24</v>
      </c>
      <c r="D1107" s="1" t="s">
        <v>2219</v>
      </c>
      <c r="E1107" s="1" t="s">
        <v>2220</v>
      </c>
      <c r="F1107" s="2">
        <v>503</v>
      </c>
      <c r="G1107" s="3">
        <v>83.1</v>
      </c>
      <c r="H1107" s="4" t="str">
        <f>IF(AND(A1107="Yes",C1107="School"),COUNTIFS($A$6:A1107,"Yes",$C$6:C1107,"School"),"")</f>
        <v/>
      </c>
    </row>
    <row r="1108" spans="1:8">
      <c r="A1108" s="13"/>
      <c r="B1108" s="1" t="s">
        <v>2110</v>
      </c>
      <c r="C1108" s="1" t="s">
        <v>24</v>
      </c>
      <c r="D1108" s="1" t="s">
        <v>2221</v>
      </c>
      <c r="E1108" s="1" t="s">
        <v>2222</v>
      </c>
      <c r="F1108" s="2">
        <v>379</v>
      </c>
      <c r="G1108" s="3">
        <v>76.3</v>
      </c>
      <c r="H1108" s="4" t="str">
        <f>IF(AND(A1108="Yes",C1108="School"),COUNTIFS($A$6:A1108,"Yes",$C$6:C1108,"School"),"")</f>
        <v/>
      </c>
    </row>
    <row r="1109" spans="1:8">
      <c r="A1109" s="13"/>
      <c r="B1109" s="1" t="s">
        <v>2223</v>
      </c>
      <c r="C1109" s="1" t="s">
        <v>24</v>
      </c>
      <c r="D1109" s="1" t="s">
        <v>2223</v>
      </c>
      <c r="E1109" s="1" t="s">
        <v>2224</v>
      </c>
      <c r="F1109" s="2">
        <v>667</v>
      </c>
      <c r="G1109" s="3">
        <v>85</v>
      </c>
      <c r="H1109" s="4" t="str">
        <f>IF(AND(A1109="Yes",C1109="School"),COUNTIFS($A$6:A1109,"Yes",$C$6:C1109,"School"),"")</f>
        <v/>
      </c>
    </row>
    <row r="1110" spans="1:8">
      <c r="A1110" s="13"/>
      <c r="B1110" s="1" t="s">
        <v>2225</v>
      </c>
      <c r="C1110" s="1" t="s">
        <v>40</v>
      </c>
      <c r="D1110" s="1" t="s">
        <v>41</v>
      </c>
      <c r="E1110" s="1" t="s">
        <v>2226</v>
      </c>
      <c r="F1110" s="2">
        <v>1336</v>
      </c>
      <c r="G1110" s="3">
        <v>44.9</v>
      </c>
      <c r="H1110" s="4" t="str">
        <f>IF(AND(A1110="Yes",C1110="School"),COUNTIFS($A$6:A1110,"Yes",$C$6:C1110,"School"),"")</f>
        <v/>
      </c>
    </row>
    <row r="1111" spans="1:8">
      <c r="A1111" s="13"/>
      <c r="B1111" s="1" t="s">
        <v>2225</v>
      </c>
      <c r="C1111" s="1" t="s">
        <v>24</v>
      </c>
      <c r="D1111" s="1" t="s">
        <v>2227</v>
      </c>
      <c r="E1111" s="1" t="s">
        <v>2228</v>
      </c>
      <c r="F1111" s="2">
        <v>207</v>
      </c>
      <c r="G1111" s="3">
        <v>39.6</v>
      </c>
      <c r="H1111" s="4" t="str">
        <f>IF(AND(A1111="Yes",C1111="School"),COUNTIFS($A$6:A1111,"Yes",$C$6:C1111,"School"),"")</f>
        <v/>
      </c>
    </row>
    <row r="1112" spans="1:8">
      <c r="A1112" s="13"/>
      <c r="B1112" s="1" t="s">
        <v>2225</v>
      </c>
      <c r="C1112" s="1" t="s">
        <v>24</v>
      </c>
      <c r="D1112" s="1" t="s">
        <v>2229</v>
      </c>
      <c r="E1112" s="1" t="s">
        <v>2230</v>
      </c>
      <c r="F1112" s="2">
        <v>336</v>
      </c>
      <c r="G1112" s="3">
        <v>44</v>
      </c>
      <c r="H1112" s="4" t="str">
        <f>IF(AND(A1112="Yes",C1112="School"),COUNTIFS($A$6:A1112,"Yes",$C$6:C1112,"School"),"")</f>
        <v/>
      </c>
    </row>
    <row r="1113" spans="1:8">
      <c r="A1113" s="13"/>
      <c r="B1113" s="1" t="s">
        <v>2225</v>
      </c>
      <c r="C1113" s="1" t="s">
        <v>24</v>
      </c>
      <c r="D1113" s="1" t="s">
        <v>2231</v>
      </c>
      <c r="E1113" s="1" t="s">
        <v>2232</v>
      </c>
      <c r="F1113" s="2">
        <v>380</v>
      </c>
      <c r="G1113" s="3">
        <v>43.4</v>
      </c>
      <c r="H1113" s="4" t="str">
        <f>IF(AND(A1113="Yes",C1113="School"),COUNTIFS($A$6:A1113,"Yes",$C$6:C1113,"School"),"")</f>
        <v/>
      </c>
    </row>
    <row r="1114" spans="1:8">
      <c r="A1114" s="13"/>
      <c r="B1114" s="1" t="s">
        <v>2225</v>
      </c>
      <c r="C1114" s="1" t="s">
        <v>24</v>
      </c>
      <c r="D1114" s="1" t="s">
        <v>2233</v>
      </c>
      <c r="E1114" s="1" t="s">
        <v>2234</v>
      </c>
      <c r="F1114" s="2">
        <v>257</v>
      </c>
      <c r="G1114" s="3">
        <v>54.5</v>
      </c>
      <c r="H1114" s="4" t="str">
        <f>IF(AND(A1114="Yes",C1114="School"),COUNTIFS($A$6:A1114,"Yes",$C$6:C1114,"School"),"")</f>
        <v/>
      </c>
    </row>
    <row r="1115" spans="1:8">
      <c r="A1115" s="13"/>
      <c r="B1115" s="1" t="s">
        <v>2225</v>
      </c>
      <c r="C1115" s="1" t="s">
        <v>24</v>
      </c>
      <c r="D1115" s="1" t="s">
        <v>2235</v>
      </c>
      <c r="E1115" s="1" t="s">
        <v>2236</v>
      </c>
      <c r="F1115" s="2">
        <v>156</v>
      </c>
      <c r="G1115" s="3">
        <v>41.7</v>
      </c>
      <c r="H1115" s="4" t="str">
        <f>IF(AND(A1115="Yes",C1115="School"),COUNTIFS($A$6:A1115,"Yes",$C$6:C1115,"School"),"")</f>
        <v/>
      </c>
    </row>
    <row r="1116" spans="1:8">
      <c r="A1116" s="13"/>
      <c r="B1116" s="1" t="s">
        <v>2237</v>
      </c>
      <c r="C1116" s="1" t="s">
        <v>24</v>
      </c>
      <c r="D1116" s="1" t="s">
        <v>2237</v>
      </c>
      <c r="E1116" s="1" t="s">
        <v>2238</v>
      </c>
      <c r="F1116" s="2">
        <v>335</v>
      </c>
      <c r="G1116" s="3">
        <v>51.6</v>
      </c>
      <c r="H1116" s="4" t="str">
        <f>IF(AND(A1116="Yes",C1116="School"),COUNTIFS($A$6:A1116,"Yes",$C$6:C1116,"School"),"")</f>
        <v/>
      </c>
    </row>
    <row r="1117" spans="1:8">
      <c r="A1117" s="13"/>
      <c r="B1117" s="1" t="s">
        <v>2239</v>
      </c>
      <c r="C1117" s="1" t="s">
        <v>24</v>
      </c>
      <c r="D1117" s="1" t="s">
        <v>2239</v>
      </c>
      <c r="E1117" s="1" t="s">
        <v>2240</v>
      </c>
      <c r="F1117" s="2">
        <v>160</v>
      </c>
      <c r="G1117" s="3">
        <v>73.099999999999994</v>
      </c>
      <c r="H1117" s="4" t="str">
        <f>IF(AND(A1117="Yes",C1117="School"),COUNTIFS($A$6:A1117,"Yes",$C$6:C1117,"School"),"")</f>
        <v/>
      </c>
    </row>
    <row r="1118" spans="1:8">
      <c r="A1118" s="13"/>
      <c r="B1118" s="1" t="s">
        <v>2241</v>
      </c>
      <c r="C1118" s="1" t="s">
        <v>24</v>
      </c>
      <c r="D1118" s="1" t="s">
        <v>2241</v>
      </c>
      <c r="E1118" s="1" t="s">
        <v>2242</v>
      </c>
      <c r="F1118" s="2">
        <v>33</v>
      </c>
      <c r="G1118" s="3">
        <v>57.6</v>
      </c>
      <c r="H1118" s="4" t="str">
        <f>IF(AND(A1118="Yes",C1118="School"),COUNTIFS($A$6:A1118,"Yes",$C$6:C1118,"School"),"")</f>
        <v/>
      </c>
    </row>
    <row r="1119" spans="1:8">
      <c r="A1119" s="13"/>
      <c r="B1119" s="1" t="s">
        <v>2243</v>
      </c>
      <c r="C1119" s="1" t="s">
        <v>40</v>
      </c>
      <c r="D1119" s="1" t="s">
        <v>41</v>
      </c>
      <c r="E1119" s="1" t="s">
        <v>2244</v>
      </c>
      <c r="F1119" s="2">
        <v>1089</v>
      </c>
      <c r="G1119" s="3">
        <v>53.4</v>
      </c>
      <c r="H1119" s="4" t="str">
        <f>IF(AND(A1119="Yes",C1119="School"),COUNTIFS($A$6:A1119,"Yes",$C$6:C1119,"School"),"")</f>
        <v/>
      </c>
    </row>
    <row r="1120" spans="1:8">
      <c r="A1120" s="13"/>
      <c r="B1120" s="1" t="s">
        <v>2243</v>
      </c>
      <c r="C1120" s="1" t="s">
        <v>24</v>
      </c>
      <c r="D1120" s="1" t="s">
        <v>2245</v>
      </c>
      <c r="E1120" s="1" t="s">
        <v>2246</v>
      </c>
      <c r="F1120" s="2">
        <v>508</v>
      </c>
      <c r="G1120" s="3">
        <v>58.1</v>
      </c>
      <c r="H1120" s="4" t="str">
        <f>IF(AND(A1120="Yes",C1120="School"),COUNTIFS($A$6:A1120,"Yes",$C$6:C1120,"School"),"")</f>
        <v/>
      </c>
    </row>
    <row r="1121" spans="1:8">
      <c r="A1121" s="13"/>
      <c r="B1121" s="1" t="s">
        <v>2243</v>
      </c>
      <c r="C1121" s="1" t="s">
        <v>24</v>
      </c>
      <c r="D1121" s="1" t="s">
        <v>2247</v>
      </c>
      <c r="E1121" s="1" t="s">
        <v>2248</v>
      </c>
      <c r="F1121" s="2">
        <v>330</v>
      </c>
      <c r="G1121" s="3">
        <v>47</v>
      </c>
      <c r="H1121" s="4" t="str">
        <f>IF(AND(A1121="Yes",C1121="School"),COUNTIFS($A$6:A1121,"Yes",$C$6:C1121,"School"),"")</f>
        <v/>
      </c>
    </row>
    <row r="1122" spans="1:8">
      <c r="A1122" s="13"/>
      <c r="B1122" s="1" t="s">
        <v>2243</v>
      </c>
      <c r="C1122" s="1" t="s">
        <v>24</v>
      </c>
      <c r="D1122" s="1" t="s">
        <v>2249</v>
      </c>
      <c r="E1122" s="1" t="s">
        <v>2250</v>
      </c>
      <c r="F1122" s="2">
        <v>251</v>
      </c>
      <c r="G1122" s="3">
        <v>52.6</v>
      </c>
      <c r="H1122" s="4" t="str">
        <f>IF(AND(A1122="Yes",C1122="School"),COUNTIFS($A$6:A1122,"Yes",$C$6:C1122,"School"),"")</f>
        <v/>
      </c>
    </row>
    <row r="1123" spans="1:8">
      <c r="A1123" s="13"/>
      <c r="B1123" s="1" t="s">
        <v>2251</v>
      </c>
      <c r="C1123" s="1" t="s">
        <v>40</v>
      </c>
      <c r="D1123" s="1" t="s">
        <v>41</v>
      </c>
      <c r="E1123" s="1" t="s">
        <v>2252</v>
      </c>
      <c r="F1123" s="2">
        <v>5885</v>
      </c>
      <c r="G1123" s="3">
        <v>59.8</v>
      </c>
      <c r="H1123" s="4" t="str">
        <f>IF(AND(A1123="Yes",C1123="School"),COUNTIFS($A$6:A1123,"Yes",$C$6:C1123,"School"),"")</f>
        <v/>
      </c>
    </row>
    <row r="1124" spans="1:8">
      <c r="A1124" s="13"/>
      <c r="B1124" s="1" t="s">
        <v>2251</v>
      </c>
      <c r="C1124" s="1" t="s">
        <v>24</v>
      </c>
      <c r="D1124" s="1" t="s">
        <v>2253</v>
      </c>
      <c r="E1124" s="1" t="s">
        <v>2254</v>
      </c>
      <c r="F1124" s="2">
        <v>454</v>
      </c>
      <c r="G1124" s="3">
        <v>65.599999999999994</v>
      </c>
      <c r="H1124" s="4" t="str">
        <f>IF(AND(A1124="Yes",C1124="School"),COUNTIFS($A$6:A1124,"Yes",$C$6:C1124,"School"),"")</f>
        <v/>
      </c>
    </row>
    <row r="1125" spans="1:8">
      <c r="A1125" s="13"/>
      <c r="B1125" s="1" t="s">
        <v>2251</v>
      </c>
      <c r="C1125" s="1" t="s">
        <v>24</v>
      </c>
      <c r="D1125" s="1" t="s">
        <v>2255</v>
      </c>
      <c r="E1125" s="1" t="s">
        <v>2256</v>
      </c>
      <c r="F1125" s="2">
        <v>320</v>
      </c>
      <c r="G1125" s="3">
        <v>80.3</v>
      </c>
      <c r="H1125" s="4" t="str">
        <f>IF(AND(A1125="Yes",C1125="School"),COUNTIFS($A$6:A1125,"Yes",$C$6:C1125,"School"),"")</f>
        <v/>
      </c>
    </row>
    <row r="1126" spans="1:8">
      <c r="A1126" s="13"/>
      <c r="B1126" s="1" t="s">
        <v>2251</v>
      </c>
      <c r="C1126" s="1" t="s">
        <v>24</v>
      </c>
      <c r="D1126" s="1" t="s">
        <v>2257</v>
      </c>
      <c r="E1126" s="1" t="s">
        <v>2258</v>
      </c>
      <c r="F1126" s="2">
        <v>217</v>
      </c>
      <c r="G1126" s="3">
        <v>36.9</v>
      </c>
      <c r="H1126" s="4" t="str">
        <f>IF(AND(A1126="Yes",C1126="School"),COUNTIFS($A$6:A1126,"Yes",$C$6:C1126,"School"),"")</f>
        <v/>
      </c>
    </row>
    <row r="1127" spans="1:8">
      <c r="A1127" s="13"/>
      <c r="B1127" s="1" t="s">
        <v>2251</v>
      </c>
      <c r="C1127" s="1" t="s">
        <v>24</v>
      </c>
      <c r="D1127" s="1" t="s">
        <v>2259</v>
      </c>
      <c r="E1127" s="1" t="s">
        <v>2260</v>
      </c>
      <c r="F1127" s="2">
        <v>751</v>
      </c>
      <c r="G1127" s="3">
        <v>52.6</v>
      </c>
      <c r="H1127" s="4" t="str">
        <f>IF(AND(A1127="Yes",C1127="School"),COUNTIFS($A$6:A1127,"Yes",$C$6:C1127,"School"),"")</f>
        <v/>
      </c>
    </row>
    <row r="1128" spans="1:8">
      <c r="A1128" s="13"/>
      <c r="B1128" s="1" t="s">
        <v>2251</v>
      </c>
      <c r="C1128" s="1" t="s">
        <v>24</v>
      </c>
      <c r="D1128" s="1" t="s">
        <v>2261</v>
      </c>
      <c r="E1128" s="1" t="s">
        <v>2262</v>
      </c>
      <c r="F1128" s="2">
        <v>211</v>
      </c>
      <c r="G1128" s="3">
        <v>33.200000000000003</v>
      </c>
      <c r="H1128" s="4" t="str">
        <f>IF(AND(A1128="Yes",C1128="School"),COUNTIFS($A$6:A1128,"Yes",$C$6:C1128,"School"),"")</f>
        <v/>
      </c>
    </row>
    <row r="1129" spans="1:8">
      <c r="A1129" s="13"/>
      <c r="B1129" s="1" t="s">
        <v>2251</v>
      </c>
      <c r="C1129" s="1" t="s">
        <v>24</v>
      </c>
      <c r="D1129" s="1" t="s">
        <v>2263</v>
      </c>
      <c r="E1129" s="1" t="s">
        <v>2264</v>
      </c>
      <c r="F1129" s="2">
        <v>623</v>
      </c>
      <c r="G1129" s="3">
        <v>68.7</v>
      </c>
      <c r="H1129" s="4" t="str">
        <f>IF(AND(A1129="Yes",C1129="School"),COUNTIFS($A$6:A1129,"Yes",$C$6:C1129,"School"),"")</f>
        <v/>
      </c>
    </row>
    <row r="1130" spans="1:8">
      <c r="A1130" s="13"/>
      <c r="B1130" s="1" t="s">
        <v>2251</v>
      </c>
      <c r="C1130" s="1" t="s">
        <v>24</v>
      </c>
      <c r="D1130" s="1" t="s">
        <v>2265</v>
      </c>
      <c r="E1130" s="1" t="s">
        <v>2266</v>
      </c>
      <c r="F1130" s="2">
        <v>446</v>
      </c>
      <c r="G1130" s="3">
        <v>52.2</v>
      </c>
      <c r="H1130" s="4" t="str">
        <f>IF(AND(A1130="Yes",C1130="School"),COUNTIFS($A$6:A1130,"Yes",$C$6:C1130,"School"),"")</f>
        <v/>
      </c>
    </row>
    <row r="1131" spans="1:8">
      <c r="A1131" s="13"/>
      <c r="B1131" s="1" t="s">
        <v>2251</v>
      </c>
      <c r="C1131" s="1" t="s">
        <v>24</v>
      </c>
      <c r="D1131" s="1" t="s">
        <v>2267</v>
      </c>
      <c r="E1131" s="1" t="s">
        <v>2268</v>
      </c>
      <c r="F1131" s="2">
        <v>458</v>
      </c>
      <c r="G1131" s="3">
        <v>71.8</v>
      </c>
      <c r="H1131" s="4" t="str">
        <f>IF(AND(A1131="Yes",C1131="School"),COUNTIFS($A$6:A1131,"Yes",$C$6:C1131,"School"),"")</f>
        <v/>
      </c>
    </row>
    <row r="1132" spans="1:8">
      <c r="A1132" s="13"/>
      <c r="B1132" s="1" t="s">
        <v>2251</v>
      </c>
      <c r="C1132" s="1" t="s">
        <v>24</v>
      </c>
      <c r="D1132" s="1" t="s">
        <v>2269</v>
      </c>
      <c r="E1132" s="1" t="s">
        <v>2270</v>
      </c>
      <c r="F1132" s="2">
        <v>70</v>
      </c>
      <c r="G1132" s="3">
        <v>80</v>
      </c>
      <c r="H1132" s="4" t="str">
        <f>IF(AND(A1132="Yes",C1132="School"),COUNTIFS($A$6:A1132,"Yes",$C$6:C1132,"School"),"")</f>
        <v/>
      </c>
    </row>
    <row r="1133" spans="1:8">
      <c r="A1133" s="13"/>
      <c r="B1133" s="1" t="s">
        <v>2251</v>
      </c>
      <c r="C1133" s="1" t="s">
        <v>24</v>
      </c>
      <c r="D1133" s="1" t="s">
        <v>2271</v>
      </c>
      <c r="E1133" s="1" t="s">
        <v>2272</v>
      </c>
      <c r="F1133" s="2">
        <v>836</v>
      </c>
      <c r="G1133" s="3">
        <v>48.1</v>
      </c>
      <c r="H1133" s="4" t="str">
        <f>IF(AND(A1133="Yes",C1133="School"),COUNTIFS($A$6:A1133,"Yes",$C$6:C1133,"School"),"")</f>
        <v/>
      </c>
    </row>
    <row r="1134" spans="1:8">
      <c r="A1134" s="13"/>
      <c r="B1134" s="1" t="s">
        <v>2251</v>
      </c>
      <c r="C1134" s="1" t="s">
        <v>24</v>
      </c>
      <c r="D1134" s="1" t="s">
        <v>2273</v>
      </c>
      <c r="E1134" s="1" t="s">
        <v>2274</v>
      </c>
      <c r="F1134" s="2">
        <v>304</v>
      </c>
      <c r="G1134" s="3">
        <v>76.3</v>
      </c>
      <c r="H1134" s="4" t="str">
        <f>IF(AND(A1134="Yes",C1134="School"),COUNTIFS($A$6:A1134,"Yes",$C$6:C1134,"School"),"")</f>
        <v/>
      </c>
    </row>
    <row r="1135" spans="1:8">
      <c r="A1135" s="13"/>
      <c r="B1135" s="1" t="s">
        <v>2251</v>
      </c>
      <c r="C1135" s="1" t="s">
        <v>24</v>
      </c>
      <c r="D1135" s="1" t="s">
        <v>2275</v>
      </c>
      <c r="E1135" s="1" t="s">
        <v>2276</v>
      </c>
      <c r="F1135" s="2">
        <v>346</v>
      </c>
      <c r="G1135" s="3">
        <v>59</v>
      </c>
      <c r="H1135" s="4" t="str">
        <f>IF(AND(A1135="Yes",C1135="School"),COUNTIFS($A$6:A1135,"Yes",$C$6:C1135,"School"),"")</f>
        <v/>
      </c>
    </row>
    <row r="1136" spans="1:8">
      <c r="A1136" s="13"/>
      <c r="B1136" s="1" t="s">
        <v>2251</v>
      </c>
      <c r="C1136" s="1" t="s">
        <v>24</v>
      </c>
      <c r="D1136" s="1" t="s">
        <v>2277</v>
      </c>
      <c r="E1136" s="1" t="s">
        <v>2278</v>
      </c>
      <c r="F1136" s="2">
        <v>498</v>
      </c>
      <c r="G1136" s="3">
        <v>74.5</v>
      </c>
      <c r="H1136" s="4" t="str">
        <f>IF(AND(A1136="Yes",C1136="School"),COUNTIFS($A$6:A1136,"Yes",$C$6:C1136,"School"),"")</f>
        <v/>
      </c>
    </row>
    <row r="1137" spans="1:8">
      <c r="A1137" s="13"/>
      <c r="B1137" s="1" t="s">
        <v>2251</v>
      </c>
      <c r="C1137" s="1" t="s">
        <v>24</v>
      </c>
      <c r="D1137" s="1" t="s">
        <v>2279</v>
      </c>
      <c r="E1137" s="1" t="s">
        <v>2280</v>
      </c>
      <c r="F1137" s="2">
        <v>351</v>
      </c>
      <c r="G1137" s="3">
        <v>46.7</v>
      </c>
      <c r="H1137" s="4" t="str">
        <f>IF(AND(A1137="Yes",C1137="School"),COUNTIFS($A$6:A1137,"Yes",$C$6:C1137,"School"),"")</f>
        <v/>
      </c>
    </row>
    <row r="1138" spans="1:8">
      <c r="A1138" s="13"/>
      <c r="B1138" s="1" t="s">
        <v>2281</v>
      </c>
      <c r="C1138" s="1" t="s">
        <v>24</v>
      </c>
      <c r="D1138" s="1" t="s">
        <v>2281</v>
      </c>
      <c r="E1138" s="1" t="s">
        <v>2282</v>
      </c>
      <c r="F1138" s="2">
        <v>691</v>
      </c>
      <c r="G1138" s="3">
        <v>16.600000000000001</v>
      </c>
      <c r="H1138" s="4" t="str">
        <f>IF(AND(A1138="Yes",C1138="School"),COUNTIFS($A$6:A1138,"Yes",$C$6:C1138,"School"),"")</f>
        <v/>
      </c>
    </row>
    <row r="1139" spans="1:8">
      <c r="A1139" s="13"/>
      <c r="B1139" s="1" t="s">
        <v>2283</v>
      </c>
      <c r="C1139" s="1" t="s">
        <v>40</v>
      </c>
      <c r="D1139" s="1" t="s">
        <v>41</v>
      </c>
      <c r="E1139" s="1" t="s">
        <v>2284</v>
      </c>
      <c r="F1139" s="2">
        <v>2581</v>
      </c>
      <c r="G1139" s="3">
        <v>68.8</v>
      </c>
      <c r="H1139" s="4" t="str">
        <f>IF(AND(A1139="Yes",C1139="School"),COUNTIFS($A$6:A1139,"Yes",$C$6:C1139,"School"),"")</f>
        <v/>
      </c>
    </row>
    <row r="1140" spans="1:8">
      <c r="A1140" s="13"/>
      <c r="B1140" s="1" t="s">
        <v>2283</v>
      </c>
      <c r="C1140" s="1" t="s">
        <v>24</v>
      </c>
      <c r="D1140" s="1" t="s">
        <v>2285</v>
      </c>
      <c r="E1140" s="1" t="s">
        <v>2286</v>
      </c>
      <c r="F1140" s="2">
        <v>701</v>
      </c>
      <c r="G1140" s="3">
        <v>63.6</v>
      </c>
      <c r="H1140" s="4" t="str">
        <f>IF(AND(A1140="Yes",C1140="School"),COUNTIFS($A$6:A1140,"Yes",$C$6:C1140,"School"),"")</f>
        <v/>
      </c>
    </row>
    <row r="1141" spans="1:8">
      <c r="A1141" s="13"/>
      <c r="B1141" s="1" t="s">
        <v>2283</v>
      </c>
      <c r="C1141" s="1" t="s">
        <v>24</v>
      </c>
      <c r="D1141" s="1" t="s">
        <v>2287</v>
      </c>
      <c r="E1141" s="1" t="s">
        <v>2288</v>
      </c>
      <c r="F1141" s="2">
        <v>391</v>
      </c>
      <c r="G1141" s="3">
        <v>72.099999999999994</v>
      </c>
      <c r="H1141" s="4" t="str">
        <f>IF(AND(A1141="Yes",C1141="School"),COUNTIFS($A$6:A1141,"Yes",$C$6:C1141,"School"),"")</f>
        <v/>
      </c>
    </row>
    <row r="1142" spans="1:8">
      <c r="A1142" s="13"/>
      <c r="B1142" s="1" t="s">
        <v>2283</v>
      </c>
      <c r="C1142" s="1" t="s">
        <v>24</v>
      </c>
      <c r="D1142" s="1" t="s">
        <v>2289</v>
      </c>
      <c r="E1142" s="1" t="s">
        <v>2290</v>
      </c>
      <c r="F1142" s="2">
        <v>550</v>
      </c>
      <c r="G1142" s="3">
        <v>70.2</v>
      </c>
      <c r="H1142" s="4" t="str">
        <f>IF(AND(A1142="Yes",C1142="School"),COUNTIFS($A$6:A1142,"Yes",$C$6:C1142,"School"),"")</f>
        <v/>
      </c>
    </row>
    <row r="1143" spans="1:8">
      <c r="A1143" s="13"/>
      <c r="B1143" s="1" t="s">
        <v>2283</v>
      </c>
      <c r="C1143" s="1" t="s">
        <v>24</v>
      </c>
      <c r="D1143" s="1" t="s">
        <v>2291</v>
      </c>
      <c r="E1143" s="1" t="s">
        <v>2292</v>
      </c>
      <c r="F1143" s="2">
        <v>163</v>
      </c>
      <c r="G1143" s="3">
        <v>62</v>
      </c>
      <c r="H1143" s="4" t="str">
        <f>IF(AND(A1143="Yes",C1143="School"),COUNTIFS($A$6:A1143,"Yes",$C$6:C1143,"School"),"")</f>
        <v/>
      </c>
    </row>
    <row r="1144" spans="1:8">
      <c r="A1144" s="13"/>
      <c r="B1144" s="1" t="s">
        <v>2283</v>
      </c>
      <c r="C1144" s="1" t="s">
        <v>24</v>
      </c>
      <c r="D1144" s="1" t="s">
        <v>2293</v>
      </c>
      <c r="E1144" s="1" t="s">
        <v>2294</v>
      </c>
      <c r="F1144" s="2">
        <v>402</v>
      </c>
      <c r="G1144" s="3">
        <v>72.599999999999994</v>
      </c>
      <c r="H1144" s="4" t="str">
        <f>IF(AND(A1144="Yes",C1144="School"),COUNTIFS($A$6:A1144,"Yes",$C$6:C1144,"School"),"")</f>
        <v/>
      </c>
    </row>
    <row r="1145" spans="1:8">
      <c r="A1145" s="13"/>
      <c r="B1145" s="1" t="s">
        <v>2283</v>
      </c>
      <c r="C1145" s="1" t="s">
        <v>24</v>
      </c>
      <c r="D1145" s="1" t="s">
        <v>2295</v>
      </c>
      <c r="E1145" s="1" t="s">
        <v>2296</v>
      </c>
      <c r="F1145" s="2">
        <v>374</v>
      </c>
      <c r="G1145" s="3">
        <v>72.2</v>
      </c>
      <c r="H1145" s="4" t="str">
        <f>IF(AND(A1145="Yes",C1145="School"),COUNTIFS($A$6:A1145,"Yes",$C$6:C1145,"School"),"")</f>
        <v/>
      </c>
    </row>
    <row r="1146" spans="1:8">
      <c r="A1146" s="13"/>
      <c r="B1146" s="1" t="s">
        <v>2297</v>
      </c>
      <c r="C1146" s="1" t="s">
        <v>24</v>
      </c>
      <c r="D1146" s="1" t="s">
        <v>2297</v>
      </c>
      <c r="E1146" s="1" t="s">
        <v>2298</v>
      </c>
      <c r="F1146" s="2">
        <v>769</v>
      </c>
      <c r="G1146" s="3">
        <v>25.4</v>
      </c>
      <c r="H1146" s="4" t="str">
        <f>IF(AND(A1146="Yes",C1146="School"),COUNTIFS($A$6:A1146,"Yes",$C$6:C1146,"School"),"")</f>
        <v/>
      </c>
    </row>
    <row r="1147" spans="1:8">
      <c r="A1147" s="13"/>
      <c r="B1147" s="1" t="s">
        <v>2299</v>
      </c>
      <c r="C1147" s="1" t="s">
        <v>40</v>
      </c>
      <c r="D1147" s="1" t="s">
        <v>41</v>
      </c>
      <c r="E1147" s="1" t="s">
        <v>2300</v>
      </c>
      <c r="F1147" s="2">
        <v>66320</v>
      </c>
      <c r="G1147" s="3">
        <v>54.7</v>
      </c>
      <c r="H1147" s="4" t="str">
        <f>IF(AND(A1147="Yes",C1147="School"),COUNTIFS($A$6:A1147,"Yes",$C$6:C1147,"School"),"")</f>
        <v/>
      </c>
    </row>
    <row r="1148" spans="1:8">
      <c r="A1148" s="13"/>
      <c r="B1148" s="1" t="s">
        <v>2299</v>
      </c>
      <c r="C1148" s="1" t="s">
        <v>24</v>
      </c>
      <c r="D1148" s="1" t="s">
        <v>2301</v>
      </c>
      <c r="E1148" s="1" t="s">
        <v>2302</v>
      </c>
      <c r="F1148" s="2">
        <v>149</v>
      </c>
      <c r="G1148" s="3">
        <v>45.6</v>
      </c>
      <c r="H1148" s="4" t="str">
        <f>IF(AND(A1148="Yes",C1148="School"),COUNTIFS($A$6:A1148,"Yes",$C$6:C1148,"School"),"")</f>
        <v/>
      </c>
    </row>
    <row r="1149" spans="1:8">
      <c r="A1149" s="13"/>
      <c r="B1149" s="1" t="s">
        <v>2299</v>
      </c>
      <c r="C1149" s="1" t="s">
        <v>24</v>
      </c>
      <c r="D1149" s="1" t="s">
        <v>2303</v>
      </c>
      <c r="E1149" s="1" t="s">
        <v>2304</v>
      </c>
      <c r="F1149" s="2">
        <v>259</v>
      </c>
      <c r="G1149" s="3">
        <v>53.7</v>
      </c>
      <c r="H1149" s="4" t="str">
        <f>IF(AND(A1149="Yes",C1149="School"),COUNTIFS($A$6:A1149,"Yes",$C$6:C1149,"School"),"")</f>
        <v/>
      </c>
    </row>
    <row r="1150" spans="1:8">
      <c r="A1150" s="13"/>
      <c r="B1150" s="1" t="s">
        <v>2299</v>
      </c>
      <c r="C1150" s="1" t="s">
        <v>24</v>
      </c>
      <c r="D1150" s="1" t="s">
        <v>2305</v>
      </c>
      <c r="E1150" s="1" t="s">
        <v>2306</v>
      </c>
      <c r="F1150" s="2">
        <v>503</v>
      </c>
      <c r="G1150" s="3">
        <v>39.200000000000003</v>
      </c>
      <c r="H1150" s="4" t="str">
        <f>IF(AND(A1150="Yes",C1150="School"),COUNTIFS($A$6:A1150,"Yes",$C$6:C1150,"School"),"")</f>
        <v/>
      </c>
    </row>
    <row r="1151" spans="1:8">
      <c r="A1151" s="13"/>
      <c r="B1151" s="1" t="s">
        <v>2299</v>
      </c>
      <c r="C1151" s="1" t="s">
        <v>24</v>
      </c>
      <c r="D1151" s="1" t="s">
        <v>2307</v>
      </c>
      <c r="E1151" s="1" t="s">
        <v>2308</v>
      </c>
      <c r="F1151" s="2">
        <v>385</v>
      </c>
      <c r="G1151" s="3">
        <v>71.900000000000006</v>
      </c>
      <c r="H1151" s="4" t="str">
        <f>IF(AND(A1151="Yes",C1151="School"),COUNTIFS($A$6:A1151,"Yes",$C$6:C1151,"School"),"")</f>
        <v/>
      </c>
    </row>
    <row r="1152" spans="1:8">
      <c r="A1152" s="13"/>
      <c r="B1152" s="1" t="s">
        <v>2299</v>
      </c>
      <c r="C1152" s="1" t="s">
        <v>24</v>
      </c>
      <c r="D1152" s="1" t="s">
        <v>2309</v>
      </c>
      <c r="E1152" s="1" t="s">
        <v>2310</v>
      </c>
      <c r="F1152" s="2">
        <v>343</v>
      </c>
      <c r="G1152" s="3">
        <v>48.4</v>
      </c>
      <c r="H1152" s="4" t="str">
        <f>IF(AND(A1152="Yes",C1152="School"),COUNTIFS($A$6:A1152,"Yes",$C$6:C1152,"School"),"")</f>
        <v/>
      </c>
    </row>
    <row r="1153" spans="1:8">
      <c r="A1153" s="13"/>
      <c r="B1153" s="1" t="s">
        <v>2299</v>
      </c>
      <c r="C1153" s="1" t="s">
        <v>24</v>
      </c>
      <c r="D1153" s="1" t="s">
        <v>2311</v>
      </c>
      <c r="E1153" s="1" t="s">
        <v>2312</v>
      </c>
      <c r="F1153" s="2">
        <v>660</v>
      </c>
      <c r="G1153" s="3">
        <v>70.900000000000006</v>
      </c>
      <c r="H1153" s="4" t="str">
        <f>IF(AND(A1153="Yes",C1153="School"),COUNTIFS($A$6:A1153,"Yes",$C$6:C1153,"School"),"")</f>
        <v/>
      </c>
    </row>
    <row r="1154" spans="1:8">
      <c r="A1154" s="13"/>
      <c r="B1154" s="1" t="s">
        <v>2299</v>
      </c>
      <c r="C1154" s="1" t="s">
        <v>24</v>
      </c>
      <c r="D1154" s="1" t="s">
        <v>2313</v>
      </c>
      <c r="E1154" s="1" t="s">
        <v>2314</v>
      </c>
      <c r="F1154" s="2">
        <v>1254</v>
      </c>
      <c r="G1154" s="3">
        <v>71.3</v>
      </c>
      <c r="H1154" s="4" t="str">
        <f>IF(AND(A1154="Yes",C1154="School"),COUNTIFS($A$6:A1154,"Yes",$C$6:C1154,"School"),"")</f>
        <v/>
      </c>
    </row>
    <row r="1155" spans="1:8">
      <c r="A1155" s="13"/>
      <c r="B1155" s="1" t="s">
        <v>2299</v>
      </c>
      <c r="C1155" s="1" t="s">
        <v>24</v>
      </c>
      <c r="D1155" s="1" t="s">
        <v>2315</v>
      </c>
      <c r="E1155" s="1" t="s">
        <v>2316</v>
      </c>
      <c r="F1155" s="2">
        <v>510</v>
      </c>
      <c r="G1155" s="3">
        <v>82.9</v>
      </c>
      <c r="H1155" s="4" t="str">
        <f>IF(AND(A1155="Yes",C1155="School"),COUNTIFS($A$6:A1155,"Yes",$C$6:C1155,"School"),"")</f>
        <v/>
      </c>
    </row>
    <row r="1156" spans="1:8">
      <c r="A1156" s="13"/>
      <c r="B1156" s="1" t="s">
        <v>2299</v>
      </c>
      <c r="C1156" s="1" t="s">
        <v>24</v>
      </c>
      <c r="D1156" s="1" t="s">
        <v>2317</v>
      </c>
      <c r="E1156" s="1" t="s">
        <v>2318</v>
      </c>
      <c r="F1156" s="2">
        <v>227</v>
      </c>
      <c r="G1156" s="3">
        <v>75.3</v>
      </c>
      <c r="H1156" s="4" t="str">
        <f>IF(AND(A1156="Yes",C1156="School"),COUNTIFS($A$6:A1156,"Yes",$C$6:C1156,"School"),"")</f>
        <v/>
      </c>
    </row>
    <row r="1157" spans="1:8">
      <c r="A1157" s="13"/>
      <c r="B1157" s="1" t="s">
        <v>2299</v>
      </c>
      <c r="C1157" s="1" t="s">
        <v>24</v>
      </c>
      <c r="D1157" s="1" t="s">
        <v>2319</v>
      </c>
      <c r="E1157" s="1" t="s">
        <v>2320</v>
      </c>
      <c r="F1157" s="2">
        <v>452</v>
      </c>
      <c r="G1157" s="3">
        <v>78.099999999999994</v>
      </c>
      <c r="H1157" s="4" t="str">
        <f>IF(AND(A1157="Yes",C1157="School"),COUNTIFS($A$6:A1157,"Yes",$C$6:C1157,"School"),"")</f>
        <v/>
      </c>
    </row>
    <row r="1158" spans="1:8">
      <c r="A1158" s="13"/>
      <c r="B1158" s="1" t="s">
        <v>2299</v>
      </c>
      <c r="C1158" s="1" t="s">
        <v>24</v>
      </c>
      <c r="D1158" s="1" t="s">
        <v>2321</v>
      </c>
      <c r="E1158" s="1" t="s">
        <v>2322</v>
      </c>
      <c r="F1158" s="2">
        <v>316</v>
      </c>
      <c r="G1158" s="3">
        <v>40.200000000000003</v>
      </c>
      <c r="H1158" s="4" t="str">
        <f>IF(AND(A1158="Yes",C1158="School"),COUNTIFS($A$6:A1158,"Yes",$C$6:C1158,"School"),"")</f>
        <v/>
      </c>
    </row>
    <row r="1159" spans="1:8">
      <c r="A1159" s="13"/>
      <c r="B1159" s="1" t="s">
        <v>2299</v>
      </c>
      <c r="C1159" s="1" t="s">
        <v>24</v>
      </c>
      <c r="D1159" s="1" t="s">
        <v>2323</v>
      </c>
      <c r="E1159" s="1" t="s">
        <v>2324</v>
      </c>
      <c r="F1159" s="2">
        <v>241</v>
      </c>
      <c r="G1159" s="3">
        <v>14.1</v>
      </c>
      <c r="H1159" s="4" t="str">
        <f>IF(AND(A1159="Yes",C1159="School"),COUNTIFS($A$6:A1159,"Yes",$C$6:C1159,"School"),"")</f>
        <v/>
      </c>
    </row>
    <row r="1160" spans="1:8">
      <c r="A1160" s="13"/>
      <c r="B1160" s="1" t="s">
        <v>2299</v>
      </c>
      <c r="C1160" s="1" t="s">
        <v>24</v>
      </c>
      <c r="D1160" s="1" t="s">
        <v>2325</v>
      </c>
      <c r="E1160" s="1" t="s">
        <v>2326</v>
      </c>
      <c r="F1160" s="2">
        <v>72</v>
      </c>
      <c r="G1160" s="3">
        <v>70.8</v>
      </c>
      <c r="H1160" s="4" t="str">
        <f>IF(AND(A1160="Yes",C1160="School"),COUNTIFS($A$6:A1160,"Yes",$C$6:C1160,"School"),"")</f>
        <v/>
      </c>
    </row>
    <row r="1161" spans="1:8">
      <c r="A1161" s="13"/>
      <c r="B1161" s="1" t="s">
        <v>2299</v>
      </c>
      <c r="C1161" s="1" t="s">
        <v>24</v>
      </c>
      <c r="D1161" s="1" t="s">
        <v>2327</v>
      </c>
      <c r="E1161" s="1" t="s">
        <v>2328</v>
      </c>
      <c r="F1161" s="2">
        <v>392</v>
      </c>
      <c r="G1161" s="3">
        <v>85.7</v>
      </c>
      <c r="H1161" s="4" t="str">
        <f>IF(AND(A1161="Yes",C1161="School"),COUNTIFS($A$6:A1161,"Yes",$C$6:C1161,"School"),"")</f>
        <v/>
      </c>
    </row>
    <row r="1162" spans="1:8">
      <c r="A1162" s="13"/>
      <c r="B1162" s="1" t="s">
        <v>2299</v>
      </c>
      <c r="C1162" s="1" t="s">
        <v>24</v>
      </c>
      <c r="D1162" s="1" t="s">
        <v>2329</v>
      </c>
      <c r="E1162" s="1" t="s">
        <v>2330</v>
      </c>
      <c r="F1162" s="2">
        <v>741</v>
      </c>
      <c r="G1162" s="3">
        <v>77.900000000000006</v>
      </c>
      <c r="H1162" s="4" t="str">
        <f>IF(AND(A1162="Yes",C1162="School"),COUNTIFS($A$6:A1162,"Yes",$C$6:C1162,"School"),"")</f>
        <v/>
      </c>
    </row>
    <row r="1163" spans="1:8">
      <c r="A1163" s="13"/>
      <c r="B1163" s="1" t="s">
        <v>2299</v>
      </c>
      <c r="C1163" s="1" t="s">
        <v>24</v>
      </c>
      <c r="D1163" s="1" t="s">
        <v>233</v>
      </c>
      <c r="E1163" s="1" t="s">
        <v>2331</v>
      </c>
      <c r="F1163" s="2">
        <v>606</v>
      </c>
      <c r="G1163" s="3">
        <v>48.5</v>
      </c>
      <c r="H1163" s="4" t="str">
        <f>IF(AND(A1163="Yes",C1163="School"),COUNTIFS($A$6:A1163,"Yes",$C$6:C1163,"School"),"")</f>
        <v/>
      </c>
    </row>
    <row r="1164" spans="1:8">
      <c r="A1164" s="13"/>
      <c r="B1164" s="1" t="s">
        <v>2299</v>
      </c>
      <c r="C1164" s="1" t="s">
        <v>24</v>
      </c>
      <c r="D1164" s="1" t="s">
        <v>2332</v>
      </c>
      <c r="E1164" s="1" t="s">
        <v>2333</v>
      </c>
      <c r="F1164" s="2">
        <v>605</v>
      </c>
      <c r="G1164" s="3">
        <v>39.299999999999997</v>
      </c>
      <c r="H1164" s="4" t="str">
        <f>IF(AND(A1164="Yes",C1164="School"),COUNTIFS($A$6:A1164,"Yes",$C$6:C1164,"School"),"")</f>
        <v/>
      </c>
    </row>
    <row r="1165" spans="1:8">
      <c r="A1165" s="13"/>
      <c r="B1165" s="1" t="s">
        <v>2299</v>
      </c>
      <c r="C1165" s="1" t="s">
        <v>24</v>
      </c>
      <c r="D1165" s="1" t="s">
        <v>2334</v>
      </c>
      <c r="E1165" s="1" t="s">
        <v>2335</v>
      </c>
      <c r="F1165" s="2">
        <v>327</v>
      </c>
      <c r="G1165" s="3">
        <v>78.599999999999994</v>
      </c>
      <c r="H1165" s="4" t="str">
        <f>IF(AND(A1165="Yes",C1165="School"),COUNTIFS($A$6:A1165,"Yes",$C$6:C1165,"School"),"")</f>
        <v/>
      </c>
    </row>
    <row r="1166" spans="1:8">
      <c r="A1166" s="13"/>
      <c r="B1166" s="1" t="s">
        <v>2299</v>
      </c>
      <c r="C1166" s="1" t="s">
        <v>24</v>
      </c>
      <c r="D1166" s="1" t="s">
        <v>2336</v>
      </c>
      <c r="E1166" s="1" t="s">
        <v>2337</v>
      </c>
      <c r="F1166" s="2">
        <v>606</v>
      </c>
      <c r="G1166" s="3">
        <v>55.4</v>
      </c>
      <c r="H1166" s="4" t="str">
        <f>IF(AND(A1166="Yes",C1166="School"),COUNTIFS($A$6:A1166,"Yes",$C$6:C1166,"School"),"")</f>
        <v/>
      </c>
    </row>
    <row r="1167" spans="1:8">
      <c r="A1167" s="13"/>
      <c r="B1167" s="1" t="s">
        <v>2299</v>
      </c>
      <c r="C1167" s="1" t="s">
        <v>24</v>
      </c>
      <c r="D1167" s="1" t="s">
        <v>2338</v>
      </c>
      <c r="E1167" s="1" t="s">
        <v>2339</v>
      </c>
      <c r="F1167" s="2">
        <v>188</v>
      </c>
      <c r="G1167" s="3">
        <v>48.4</v>
      </c>
      <c r="H1167" s="4" t="str">
        <f>IF(AND(A1167="Yes",C1167="School"),COUNTIFS($A$6:A1167,"Yes",$C$6:C1167,"School"),"")</f>
        <v/>
      </c>
    </row>
    <row r="1168" spans="1:8">
      <c r="A1168" s="13"/>
      <c r="B1168" s="1" t="s">
        <v>2299</v>
      </c>
      <c r="C1168" s="1" t="s">
        <v>24</v>
      </c>
      <c r="D1168" s="1" t="s">
        <v>2340</v>
      </c>
      <c r="E1168" s="1" t="s">
        <v>2341</v>
      </c>
      <c r="F1168" s="2">
        <v>189</v>
      </c>
      <c r="G1168" s="3">
        <v>8.5</v>
      </c>
      <c r="H1168" s="4" t="str">
        <f>IF(AND(A1168="Yes",C1168="School"),COUNTIFS($A$6:A1168,"Yes",$C$6:C1168,"School"),"")</f>
        <v/>
      </c>
    </row>
    <row r="1169" spans="1:8">
      <c r="A1169" s="13"/>
      <c r="B1169" s="1" t="s">
        <v>2299</v>
      </c>
      <c r="C1169" s="1" t="s">
        <v>24</v>
      </c>
      <c r="D1169" s="1" t="s">
        <v>2342</v>
      </c>
      <c r="E1169" s="1" t="s">
        <v>2343</v>
      </c>
      <c r="F1169" s="2">
        <v>1105</v>
      </c>
      <c r="G1169" s="3">
        <v>58.2</v>
      </c>
      <c r="H1169" s="4" t="str">
        <f>IF(AND(A1169="Yes",C1169="School"),COUNTIFS($A$6:A1169,"Yes",$C$6:C1169,"School"),"")</f>
        <v/>
      </c>
    </row>
    <row r="1170" spans="1:8">
      <c r="A1170" s="13"/>
      <c r="B1170" s="1" t="s">
        <v>2299</v>
      </c>
      <c r="C1170" s="1" t="s">
        <v>24</v>
      </c>
      <c r="D1170" s="1" t="s">
        <v>2344</v>
      </c>
      <c r="E1170" s="1" t="s">
        <v>2345</v>
      </c>
      <c r="F1170" s="2">
        <v>897</v>
      </c>
      <c r="G1170" s="3">
        <v>61.8</v>
      </c>
      <c r="H1170" s="4" t="str">
        <f>IF(AND(A1170="Yes",C1170="School"),COUNTIFS($A$6:A1170,"Yes",$C$6:C1170,"School"),"")</f>
        <v/>
      </c>
    </row>
    <row r="1171" spans="1:8">
      <c r="A1171" s="13"/>
      <c r="B1171" s="1" t="s">
        <v>2299</v>
      </c>
      <c r="C1171" s="1" t="s">
        <v>24</v>
      </c>
      <c r="D1171" s="1" t="s">
        <v>2346</v>
      </c>
      <c r="E1171" s="1" t="s">
        <v>2347</v>
      </c>
      <c r="F1171" s="2">
        <v>392</v>
      </c>
      <c r="G1171" s="3">
        <v>71.400000000000006</v>
      </c>
      <c r="H1171" s="4" t="str">
        <f>IF(AND(A1171="Yes",C1171="School"),COUNTIFS($A$6:A1171,"Yes",$C$6:C1171,"School"),"")</f>
        <v/>
      </c>
    </row>
    <row r="1172" spans="1:8">
      <c r="A1172" s="13"/>
      <c r="B1172" s="1" t="s">
        <v>2299</v>
      </c>
      <c r="C1172" s="1" t="s">
        <v>24</v>
      </c>
      <c r="D1172" s="1" t="s">
        <v>2348</v>
      </c>
      <c r="E1172" s="1" t="s">
        <v>2349</v>
      </c>
      <c r="F1172" s="2">
        <v>633</v>
      </c>
      <c r="G1172" s="3">
        <v>24.8</v>
      </c>
      <c r="H1172" s="4" t="str">
        <f>IF(AND(A1172="Yes",C1172="School"),COUNTIFS($A$6:A1172,"Yes",$C$6:C1172,"School"),"")</f>
        <v/>
      </c>
    </row>
    <row r="1173" spans="1:8">
      <c r="A1173" s="13"/>
      <c r="B1173" s="1" t="s">
        <v>2299</v>
      </c>
      <c r="C1173" s="1" t="s">
        <v>24</v>
      </c>
      <c r="D1173" s="1" t="s">
        <v>2350</v>
      </c>
      <c r="E1173" s="1" t="s">
        <v>2351</v>
      </c>
      <c r="F1173" s="2">
        <v>197</v>
      </c>
      <c r="G1173" s="3">
        <v>45.7</v>
      </c>
      <c r="H1173" s="4" t="str">
        <f>IF(AND(A1173="Yes",C1173="School"),COUNTIFS($A$6:A1173,"Yes",$C$6:C1173,"School"),"")</f>
        <v/>
      </c>
    </row>
    <row r="1174" spans="1:8">
      <c r="A1174" s="13"/>
      <c r="B1174" s="1" t="s">
        <v>2299</v>
      </c>
      <c r="C1174" s="1" t="s">
        <v>24</v>
      </c>
      <c r="D1174" s="1" t="s">
        <v>429</v>
      </c>
      <c r="E1174" s="1" t="s">
        <v>2352</v>
      </c>
      <c r="F1174" s="2">
        <v>450</v>
      </c>
      <c r="G1174" s="3">
        <v>80</v>
      </c>
      <c r="H1174" s="4" t="str">
        <f>IF(AND(A1174="Yes",C1174="School"),COUNTIFS($A$6:A1174,"Yes",$C$6:C1174,"School"),"")</f>
        <v/>
      </c>
    </row>
    <row r="1175" spans="1:8">
      <c r="A1175" s="13"/>
      <c r="B1175" s="1" t="s">
        <v>2299</v>
      </c>
      <c r="C1175" s="1" t="s">
        <v>24</v>
      </c>
      <c r="D1175" s="1" t="s">
        <v>2353</v>
      </c>
      <c r="E1175" s="1" t="s">
        <v>2354</v>
      </c>
      <c r="F1175" s="2">
        <v>531</v>
      </c>
      <c r="G1175" s="3">
        <v>73.599999999999994</v>
      </c>
      <c r="H1175" s="4" t="str">
        <f>IF(AND(A1175="Yes",C1175="School"),COUNTIFS($A$6:A1175,"Yes",$C$6:C1175,"School"),"")</f>
        <v/>
      </c>
    </row>
    <row r="1176" spans="1:8">
      <c r="A1176" s="13"/>
      <c r="B1176" s="1" t="s">
        <v>2299</v>
      </c>
      <c r="C1176" s="1" t="s">
        <v>24</v>
      </c>
      <c r="D1176" s="1" t="s">
        <v>2355</v>
      </c>
      <c r="E1176" s="1" t="s">
        <v>2356</v>
      </c>
      <c r="F1176" s="2">
        <v>615</v>
      </c>
      <c r="G1176" s="3">
        <v>50.1</v>
      </c>
      <c r="H1176" s="4" t="str">
        <f>IF(AND(A1176="Yes",C1176="School"),COUNTIFS($A$6:A1176,"Yes",$C$6:C1176,"School"),"")</f>
        <v/>
      </c>
    </row>
    <row r="1177" spans="1:8">
      <c r="A1177" s="13"/>
      <c r="B1177" s="1" t="s">
        <v>2299</v>
      </c>
      <c r="C1177" s="1" t="s">
        <v>24</v>
      </c>
      <c r="D1177" s="1" t="s">
        <v>2357</v>
      </c>
      <c r="E1177" s="1" t="s">
        <v>2358</v>
      </c>
      <c r="F1177" s="2">
        <v>164</v>
      </c>
      <c r="G1177" s="3">
        <v>64</v>
      </c>
      <c r="H1177" s="4" t="str">
        <f>IF(AND(A1177="Yes",C1177="School"),COUNTIFS($A$6:A1177,"Yes",$C$6:C1177,"School"),"")</f>
        <v/>
      </c>
    </row>
    <row r="1178" spans="1:8">
      <c r="A1178" s="13"/>
      <c r="B1178" s="1" t="s">
        <v>2299</v>
      </c>
      <c r="C1178" s="1" t="s">
        <v>24</v>
      </c>
      <c r="D1178" s="1" t="s">
        <v>2359</v>
      </c>
      <c r="E1178" s="1" t="s">
        <v>2360</v>
      </c>
      <c r="F1178" s="2">
        <v>95</v>
      </c>
      <c r="G1178" s="3">
        <v>42.1</v>
      </c>
      <c r="H1178" s="4" t="str">
        <f>IF(AND(A1178="Yes",C1178="School"),COUNTIFS($A$6:A1178,"Yes",$C$6:C1178,"School"),"")</f>
        <v/>
      </c>
    </row>
    <row r="1179" spans="1:8">
      <c r="A1179" s="13"/>
      <c r="B1179" s="1" t="s">
        <v>2299</v>
      </c>
      <c r="C1179" s="1" t="s">
        <v>24</v>
      </c>
      <c r="D1179" s="1" t="s">
        <v>2361</v>
      </c>
      <c r="E1179" s="1" t="s">
        <v>2362</v>
      </c>
      <c r="F1179" s="2">
        <v>416</v>
      </c>
      <c r="G1179" s="3">
        <v>38</v>
      </c>
      <c r="H1179" s="4" t="str">
        <f>IF(AND(A1179="Yes",C1179="School"),COUNTIFS($A$6:A1179,"Yes",$C$6:C1179,"School"),"")</f>
        <v/>
      </c>
    </row>
    <row r="1180" spans="1:8">
      <c r="A1180" s="13"/>
      <c r="B1180" s="1" t="s">
        <v>2299</v>
      </c>
      <c r="C1180" s="1" t="s">
        <v>24</v>
      </c>
      <c r="D1180" s="1" t="s">
        <v>2363</v>
      </c>
      <c r="E1180" s="1" t="s">
        <v>2364</v>
      </c>
      <c r="F1180" s="2">
        <v>529</v>
      </c>
      <c r="G1180" s="3">
        <v>72.400000000000006</v>
      </c>
      <c r="H1180" s="4" t="str">
        <f>IF(AND(A1180="Yes",C1180="School"),COUNTIFS($A$6:A1180,"Yes",$C$6:C1180,"School"),"")</f>
        <v/>
      </c>
    </row>
    <row r="1181" spans="1:8">
      <c r="A1181" s="13"/>
      <c r="B1181" s="1" t="s">
        <v>2299</v>
      </c>
      <c r="C1181" s="1" t="s">
        <v>24</v>
      </c>
      <c r="D1181" s="1" t="s">
        <v>2365</v>
      </c>
      <c r="E1181" s="1" t="s">
        <v>2366</v>
      </c>
      <c r="F1181" s="2">
        <v>546</v>
      </c>
      <c r="G1181" s="3">
        <v>49.8</v>
      </c>
      <c r="H1181" s="4" t="str">
        <f>IF(AND(A1181="Yes",C1181="School"),COUNTIFS($A$6:A1181,"Yes",$C$6:C1181,"School"),"")</f>
        <v/>
      </c>
    </row>
    <row r="1182" spans="1:8">
      <c r="A1182" s="13"/>
      <c r="B1182" s="1" t="s">
        <v>2299</v>
      </c>
      <c r="C1182" s="1" t="s">
        <v>24</v>
      </c>
      <c r="D1182" s="1" t="s">
        <v>2367</v>
      </c>
      <c r="E1182" s="1" t="s">
        <v>2368</v>
      </c>
      <c r="F1182" s="2">
        <v>230</v>
      </c>
      <c r="G1182" s="3">
        <v>79.099999999999994</v>
      </c>
      <c r="H1182" s="4" t="str">
        <f>IF(AND(A1182="Yes",C1182="School"),COUNTIFS($A$6:A1182,"Yes",$C$6:C1182,"School"),"")</f>
        <v/>
      </c>
    </row>
    <row r="1183" spans="1:8">
      <c r="A1183" s="13"/>
      <c r="B1183" s="1" t="s">
        <v>2299</v>
      </c>
      <c r="C1183" s="1" t="s">
        <v>24</v>
      </c>
      <c r="D1183" s="1" t="s">
        <v>2369</v>
      </c>
      <c r="E1183" s="1" t="s">
        <v>2370</v>
      </c>
      <c r="F1183" s="2">
        <v>1993</v>
      </c>
      <c r="G1183" s="3">
        <v>38.6</v>
      </c>
      <c r="H1183" s="4" t="str">
        <f>IF(AND(A1183="Yes",C1183="School"),COUNTIFS($A$6:A1183,"Yes",$C$6:C1183,"School"),"")</f>
        <v/>
      </c>
    </row>
    <row r="1184" spans="1:8">
      <c r="A1184" s="13"/>
      <c r="B1184" s="1" t="s">
        <v>2299</v>
      </c>
      <c r="C1184" s="1" t="s">
        <v>24</v>
      </c>
      <c r="D1184" s="1" t="s">
        <v>2371</v>
      </c>
      <c r="E1184" s="1" t="s">
        <v>2372</v>
      </c>
      <c r="F1184" s="2">
        <v>236</v>
      </c>
      <c r="G1184" s="3">
        <v>36.4</v>
      </c>
      <c r="H1184" s="4" t="str">
        <f>IF(AND(A1184="Yes",C1184="School"),COUNTIFS($A$6:A1184,"Yes",$C$6:C1184,"School"),"")</f>
        <v/>
      </c>
    </row>
    <row r="1185" spans="1:8">
      <c r="A1185" s="13"/>
      <c r="B1185" s="1" t="s">
        <v>2299</v>
      </c>
      <c r="C1185" s="1" t="s">
        <v>24</v>
      </c>
      <c r="D1185" s="1" t="s">
        <v>2373</v>
      </c>
      <c r="E1185" s="1" t="s">
        <v>2374</v>
      </c>
      <c r="F1185" s="2">
        <v>204</v>
      </c>
      <c r="G1185" s="3">
        <v>66.2</v>
      </c>
      <c r="H1185" s="4" t="str">
        <f>IF(AND(A1185="Yes",C1185="School"),COUNTIFS($A$6:A1185,"Yes",$C$6:C1185,"School"),"")</f>
        <v/>
      </c>
    </row>
    <row r="1186" spans="1:8">
      <c r="A1186" s="13"/>
      <c r="B1186" s="1" t="s">
        <v>2299</v>
      </c>
      <c r="C1186" s="1" t="s">
        <v>24</v>
      </c>
      <c r="D1186" s="1" t="s">
        <v>2375</v>
      </c>
      <c r="E1186" s="1" t="s">
        <v>2376</v>
      </c>
      <c r="F1186" s="2">
        <v>605</v>
      </c>
      <c r="G1186" s="3">
        <v>71.900000000000006</v>
      </c>
      <c r="H1186" s="4" t="str">
        <f>IF(AND(A1186="Yes",C1186="School"),COUNTIFS($A$6:A1186,"Yes",$C$6:C1186,"School"),"")</f>
        <v/>
      </c>
    </row>
    <row r="1187" spans="1:8">
      <c r="A1187" s="13"/>
      <c r="B1187" s="1" t="s">
        <v>2299</v>
      </c>
      <c r="C1187" s="1" t="s">
        <v>24</v>
      </c>
      <c r="D1187" s="1" t="s">
        <v>2377</v>
      </c>
      <c r="E1187" s="1" t="s">
        <v>2378</v>
      </c>
      <c r="F1187" s="2">
        <v>161</v>
      </c>
      <c r="G1187" s="3">
        <v>73.900000000000006</v>
      </c>
      <c r="H1187" s="4" t="str">
        <f>IF(AND(A1187="Yes",C1187="School"),COUNTIFS($A$6:A1187,"Yes",$C$6:C1187,"School"),"")</f>
        <v/>
      </c>
    </row>
    <row r="1188" spans="1:8">
      <c r="A1188" s="13"/>
      <c r="B1188" s="1" t="s">
        <v>2299</v>
      </c>
      <c r="C1188" s="1" t="s">
        <v>24</v>
      </c>
      <c r="D1188" s="1" t="s">
        <v>2379</v>
      </c>
      <c r="E1188" s="1" t="s">
        <v>2380</v>
      </c>
      <c r="F1188" s="2">
        <v>72</v>
      </c>
      <c r="G1188" s="3">
        <v>77.8</v>
      </c>
      <c r="H1188" s="4" t="str">
        <f>IF(AND(A1188="Yes",C1188="School"),COUNTIFS($A$6:A1188,"Yes",$C$6:C1188,"School"),"")</f>
        <v/>
      </c>
    </row>
    <row r="1189" spans="1:8">
      <c r="A1189" s="13"/>
      <c r="B1189" s="1" t="s">
        <v>2299</v>
      </c>
      <c r="C1189" s="1" t="s">
        <v>24</v>
      </c>
      <c r="D1189" s="1" t="s">
        <v>2381</v>
      </c>
      <c r="E1189" s="1" t="s">
        <v>2382</v>
      </c>
      <c r="F1189" s="2">
        <v>864</v>
      </c>
      <c r="G1189" s="3">
        <v>68.3</v>
      </c>
      <c r="H1189" s="4" t="str">
        <f>IF(AND(A1189="Yes",C1189="School"),COUNTIFS($A$6:A1189,"Yes",$C$6:C1189,"School"),"")</f>
        <v/>
      </c>
    </row>
    <row r="1190" spans="1:8">
      <c r="A1190" s="13"/>
      <c r="B1190" s="1" t="s">
        <v>2299</v>
      </c>
      <c r="C1190" s="1" t="s">
        <v>24</v>
      </c>
      <c r="D1190" s="1" t="s">
        <v>2383</v>
      </c>
      <c r="E1190" s="1" t="s">
        <v>2384</v>
      </c>
      <c r="F1190" s="2">
        <v>514</v>
      </c>
      <c r="G1190" s="3">
        <v>80</v>
      </c>
      <c r="H1190" s="4" t="str">
        <f>IF(AND(A1190="Yes",C1190="School"),COUNTIFS($A$6:A1190,"Yes",$C$6:C1190,"School"),"")</f>
        <v/>
      </c>
    </row>
    <row r="1191" spans="1:8">
      <c r="A1191" s="13"/>
      <c r="B1191" s="1" t="s">
        <v>2299</v>
      </c>
      <c r="C1191" s="1" t="s">
        <v>24</v>
      </c>
      <c r="D1191" s="1" t="s">
        <v>2385</v>
      </c>
      <c r="E1191" s="1" t="s">
        <v>2386</v>
      </c>
      <c r="F1191" s="2">
        <v>534</v>
      </c>
      <c r="G1191" s="3">
        <v>66.099999999999994</v>
      </c>
      <c r="H1191" s="4" t="str">
        <f>IF(AND(A1191="Yes",C1191="School"),COUNTIFS($A$6:A1191,"Yes",$C$6:C1191,"School"),"")</f>
        <v/>
      </c>
    </row>
    <row r="1192" spans="1:8">
      <c r="A1192" s="13"/>
      <c r="B1192" s="1" t="s">
        <v>2299</v>
      </c>
      <c r="C1192" s="1" t="s">
        <v>24</v>
      </c>
      <c r="D1192" s="1" t="s">
        <v>2387</v>
      </c>
      <c r="E1192" s="1" t="s">
        <v>2388</v>
      </c>
      <c r="F1192" s="2">
        <v>455</v>
      </c>
      <c r="G1192" s="3">
        <v>75.8</v>
      </c>
      <c r="H1192" s="4" t="str">
        <f>IF(AND(A1192="Yes",C1192="School"),COUNTIFS($A$6:A1192,"Yes",$C$6:C1192,"School"),"")</f>
        <v/>
      </c>
    </row>
    <row r="1193" spans="1:8">
      <c r="A1193" s="13"/>
      <c r="B1193" s="1" t="s">
        <v>2299</v>
      </c>
      <c r="C1193" s="1" t="s">
        <v>24</v>
      </c>
      <c r="D1193" s="1" t="s">
        <v>2389</v>
      </c>
      <c r="E1193" s="1" t="s">
        <v>2390</v>
      </c>
      <c r="F1193" s="2">
        <v>1272</v>
      </c>
      <c r="G1193" s="3">
        <v>69.599999999999994</v>
      </c>
      <c r="H1193" s="4" t="str">
        <f>IF(AND(A1193="Yes",C1193="School"),COUNTIFS($A$6:A1193,"Yes",$C$6:C1193,"School"),"")</f>
        <v/>
      </c>
    </row>
    <row r="1194" spans="1:8">
      <c r="A1194" s="13"/>
      <c r="B1194" s="1" t="s">
        <v>2299</v>
      </c>
      <c r="C1194" s="1" t="s">
        <v>24</v>
      </c>
      <c r="D1194" s="1" t="s">
        <v>2391</v>
      </c>
      <c r="E1194" s="1" t="s">
        <v>2392</v>
      </c>
      <c r="F1194" s="2">
        <v>292</v>
      </c>
      <c r="G1194" s="3">
        <v>74</v>
      </c>
      <c r="H1194" s="4" t="str">
        <f>IF(AND(A1194="Yes",C1194="School"),COUNTIFS($A$6:A1194,"Yes",$C$6:C1194,"School"),"")</f>
        <v/>
      </c>
    </row>
    <row r="1195" spans="1:8">
      <c r="A1195" s="13"/>
      <c r="B1195" s="1" t="s">
        <v>2299</v>
      </c>
      <c r="C1195" s="1" t="s">
        <v>24</v>
      </c>
      <c r="D1195" s="1" t="s">
        <v>2393</v>
      </c>
      <c r="E1195" s="1" t="s">
        <v>2394</v>
      </c>
      <c r="F1195" s="2">
        <v>448</v>
      </c>
      <c r="G1195" s="3">
        <v>67</v>
      </c>
      <c r="H1195" s="4" t="str">
        <f>IF(AND(A1195="Yes",C1195="School"),COUNTIFS($A$6:A1195,"Yes",$C$6:C1195,"School"),"")</f>
        <v/>
      </c>
    </row>
    <row r="1196" spans="1:8">
      <c r="A1196" s="13"/>
      <c r="B1196" s="1" t="s">
        <v>2299</v>
      </c>
      <c r="C1196" s="1" t="s">
        <v>24</v>
      </c>
      <c r="D1196" s="1" t="s">
        <v>2395</v>
      </c>
      <c r="E1196" s="1" t="s">
        <v>2396</v>
      </c>
      <c r="F1196" s="2">
        <v>939</v>
      </c>
      <c r="G1196" s="3">
        <v>54.2</v>
      </c>
      <c r="H1196" s="4" t="str">
        <f>IF(AND(A1196="Yes",C1196="School"),COUNTIFS($A$6:A1196,"Yes",$C$6:C1196,"School"),"")</f>
        <v/>
      </c>
    </row>
    <row r="1197" spans="1:8">
      <c r="A1197" s="13"/>
      <c r="B1197" s="1" t="s">
        <v>2299</v>
      </c>
      <c r="C1197" s="1" t="s">
        <v>24</v>
      </c>
      <c r="D1197" s="1" t="s">
        <v>1357</v>
      </c>
      <c r="E1197" s="1" t="s">
        <v>2397</v>
      </c>
      <c r="F1197" s="2">
        <v>702</v>
      </c>
      <c r="G1197" s="3">
        <v>67.7</v>
      </c>
      <c r="H1197" s="4" t="str">
        <f>IF(AND(A1197="Yes",C1197="School"),COUNTIFS($A$6:A1197,"Yes",$C$6:C1197,"School"),"")</f>
        <v/>
      </c>
    </row>
    <row r="1198" spans="1:8">
      <c r="A1198" s="13"/>
      <c r="B1198" s="1" t="s">
        <v>2299</v>
      </c>
      <c r="C1198" s="1" t="s">
        <v>24</v>
      </c>
      <c r="D1198" s="1" t="s">
        <v>2398</v>
      </c>
      <c r="E1198" s="1" t="s">
        <v>2399</v>
      </c>
      <c r="F1198" s="2">
        <v>491</v>
      </c>
      <c r="G1198" s="3">
        <v>29.9</v>
      </c>
      <c r="H1198" s="4" t="str">
        <f>IF(AND(A1198="Yes",C1198="School"),COUNTIFS($A$6:A1198,"Yes",$C$6:C1198,"School"),"")</f>
        <v/>
      </c>
    </row>
    <row r="1199" spans="1:8">
      <c r="A1199" s="13"/>
      <c r="B1199" s="1" t="s">
        <v>2299</v>
      </c>
      <c r="C1199" s="1" t="s">
        <v>24</v>
      </c>
      <c r="D1199" s="1" t="s">
        <v>2400</v>
      </c>
      <c r="E1199" s="1" t="s">
        <v>2401</v>
      </c>
      <c r="F1199" s="2">
        <v>434</v>
      </c>
      <c r="G1199" s="3">
        <v>55.1</v>
      </c>
      <c r="H1199" s="4" t="str">
        <f>IF(AND(A1199="Yes",C1199="School"),COUNTIFS($A$6:A1199,"Yes",$C$6:C1199,"School"),"")</f>
        <v/>
      </c>
    </row>
    <row r="1200" spans="1:8">
      <c r="A1200" s="13"/>
      <c r="B1200" s="1" t="s">
        <v>2299</v>
      </c>
      <c r="C1200" s="1" t="s">
        <v>24</v>
      </c>
      <c r="D1200" s="1" t="s">
        <v>2402</v>
      </c>
      <c r="E1200" s="1" t="s">
        <v>2403</v>
      </c>
      <c r="F1200" s="2">
        <v>384</v>
      </c>
      <c r="G1200" s="3">
        <v>79.900000000000006</v>
      </c>
      <c r="H1200" s="4" t="str">
        <f>IF(AND(A1200="Yes",C1200="School"),COUNTIFS($A$6:A1200,"Yes",$C$6:C1200,"School"),"")</f>
        <v/>
      </c>
    </row>
    <row r="1201" spans="1:8">
      <c r="A1201" s="13"/>
      <c r="B1201" s="1" t="s">
        <v>2299</v>
      </c>
      <c r="C1201" s="1" t="s">
        <v>24</v>
      </c>
      <c r="D1201" s="1" t="s">
        <v>2404</v>
      </c>
      <c r="E1201" s="1" t="s">
        <v>2405</v>
      </c>
      <c r="F1201" s="2">
        <v>740</v>
      </c>
      <c r="G1201" s="3">
        <v>72.7</v>
      </c>
      <c r="H1201" s="4" t="str">
        <f>IF(AND(A1201="Yes",C1201="School"),COUNTIFS($A$6:A1201,"Yes",$C$6:C1201,"School"),"")</f>
        <v/>
      </c>
    </row>
    <row r="1202" spans="1:8">
      <c r="A1202" s="13"/>
      <c r="B1202" s="1" t="s">
        <v>2299</v>
      </c>
      <c r="C1202" s="1" t="s">
        <v>24</v>
      </c>
      <c r="D1202" s="1" t="s">
        <v>2406</v>
      </c>
      <c r="E1202" s="1" t="s">
        <v>2407</v>
      </c>
      <c r="F1202" s="2">
        <v>117</v>
      </c>
      <c r="G1202" s="3">
        <v>47.9</v>
      </c>
      <c r="H1202" s="4" t="str">
        <f>IF(AND(A1202="Yes",C1202="School"),COUNTIFS($A$6:A1202,"Yes",$C$6:C1202,"School"),"")</f>
        <v/>
      </c>
    </row>
    <row r="1203" spans="1:8">
      <c r="A1203" s="13"/>
      <c r="B1203" s="1" t="s">
        <v>2299</v>
      </c>
      <c r="C1203" s="1" t="s">
        <v>24</v>
      </c>
      <c r="D1203" s="1" t="s">
        <v>2408</v>
      </c>
      <c r="E1203" s="1" t="s">
        <v>2409</v>
      </c>
      <c r="F1203" s="2">
        <v>688</v>
      </c>
      <c r="G1203" s="3">
        <v>36.5</v>
      </c>
      <c r="H1203" s="4" t="str">
        <f>IF(AND(A1203="Yes",C1203="School"),COUNTIFS($A$6:A1203,"Yes",$C$6:C1203,"School"),"")</f>
        <v/>
      </c>
    </row>
    <row r="1204" spans="1:8">
      <c r="A1204" s="13"/>
      <c r="B1204" s="1" t="s">
        <v>2299</v>
      </c>
      <c r="C1204" s="1" t="s">
        <v>24</v>
      </c>
      <c r="D1204" s="1" t="s">
        <v>2410</v>
      </c>
      <c r="E1204" s="1" t="s">
        <v>2411</v>
      </c>
      <c r="F1204" s="2">
        <v>283</v>
      </c>
      <c r="G1204" s="3">
        <v>78.400000000000006</v>
      </c>
      <c r="H1204" s="4" t="str">
        <f>IF(AND(A1204="Yes",C1204="School"),COUNTIFS($A$6:A1204,"Yes",$C$6:C1204,"School"),"")</f>
        <v/>
      </c>
    </row>
    <row r="1205" spans="1:8">
      <c r="A1205" s="13"/>
      <c r="B1205" s="1" t="s">
        <v>2299</v>
      </c>
      <c r="C1205" s="1" t="s">
        <v>24</v>
      </c>
      <c r="D1205" s="1" t="s">
        <v>2412</v>
      </c>
      <c r="E1205" s="1" t="s">
        <v>2413</v>
      </c>
      <c r="F1205" s="2">
        <v>1090</v>
      </c>
      <c r="G1205" s="3">
        <v>49</v>
      </c>
      <c r="H1205" s="4" t="str">
        <f>IF(AND(A1205="Yes",C1205="School"),COUNTIFS($A$6:A1205,"Yes",$C$6:C1205,"School"),"")</f>
        <v/>
      </c>
    </row>
    <row r="1206" spans="1:8">
      <c r="A1206" s="13"/>
      <c r="B1206" s="1" t="s">
        <v>2299</v>
      </c>
      <c r="C1206" s="1" t="s">
        <v>24</v>
      </c>
      <c r="D1206" s="1" t="s">
        <v>2414</v>
      </c>
      <c r="E1206" s="1" t="s">
        <v>2415</v>
      </c>
      <c r="F1206" s="2">
        <v>633</v>
      </c>
      <c r="G1206" s="3">
        <v>40.299999999999997</v>
      </c>
      <c r="H1206" s="4" t="str">
        <f>IF(AND(A1206="Yes",C1206="School"),COUNTIFS($A$6:A1206,"Yes",$C$6:C1206,"School"),"")</f>
        <v/>
      </c>
    </row>
    <row r="1207" spans="1:8">
      <c r="A1207" s="13"/>
      <c r="B1207" s="1" t="s">
        <v>2299</v>
      </c>
      <c r="C1207" s="1" t="s">
        <v>24</v>
      </c>
      <c r="D1207" s="1" t="s">
        <v>2416</v>
      </c>
      <c r="E1207" s="1" t="s">
        <v>2417</v>
      </c>
      <c r="F1207" s="2">
        <v>1212</v>
      </c>
      <c r="G1207" s="3">
        <v>51.3</v>
      </c>
      <c r="H1207" s="4" t="str">
        <f>IF(AND(A1207="Yes",C1207="School"),COUNTIFS($A$6:A1207,"Yes",$C$6:C1207,"School"),"")</f>
        <v/>
      </c>
    </row>
    <row r="1208" spans="1:8">
      <c r="A1208" s="13"/>
      <c r="B1208" s="1" t="s">
        <v>2299</v>
      </c>
      <c r="C1208" s="1" t="s">
        <v>24</v>
      </c>
      <c r="D1208" s="1" t="s">
        <v>2418</v>
      </c>
      <c r="E1208" s="1" t="s">
        <v>2419</v>
      </c>
      <c r="F1208" s="2">
        <v>185</v>
      </c>
      <c r="G1208" s="3">
        <v>69.2</v>
      </c>
      <c r="H1208" s="4" t="str">
        <f>IF(AND(A1208="Yes",C1208="School"),COUNTIFS($A$6:A1208,"Yes",$C$6:C1208,"School"),"")</f>
        <v/>
      </c>
    </row>
    <row r="1209" spans="1:8">
      <c r="A1209" s="13"/>
      <c r="B1209" s="1" t="s">
        <v>2299</v>
      </c>
      <c r="C1209" s="1" t="s">
        <v>24</v>
      </c>
      <c r="D1209" s="1" t="s">
        <v>2420</v>
      </c>
      <c r="E1209" s="1" t="s">
        <v>2421</v>
      </c>
      <c r="F1209" s="2">
        <v>310</v>
      </c>
      <c r="G1209" s="3">
        <v>59.4</v>
      </c>
      <c r="H1209" s="4" t="str">
        <f>IF(AND(A1209="Yes",C1209="School"),COUNTIFS($A$6:A1209,"Yes",$C$6:C1209,"School"),"")</f>
        <v/>
      </c>
    </row>
    <row r="1210" spans="1:8">
      <c r="A1210" s="13"/>
      <c r="B1210" s="1" t="s">
        <v>2299</v>
      </c>
      <c r="C1210" s="1" t="s">
        <v>24</v>
      </c>
      <c r="D1210" s="1" t="s">
        <v>2422</v>
      </c>
      <c r="E1210" s="1" t="s">
        <v>2423</v>
      </c>
      <c r="F1210" s="2">
        <v>927</v>
      </c>
      <c r="G1210" s="3">
        <v>64.2</v>
      </c>
      <c r="H1210" s="4" t="str">
        <f>IF(AND(A1210="Yes",C1210="School"),COUNTIFS($A$6:A1210,"Yes",$C$6:C1210,"School"),"")</f>
        <v/>
      </c>
    </row>
    <row r="1211" spans="1:8">
      <c r="A1211" s="13"/>
      <c r="B1211" s="1" t="s">
        <v>2299</v>
      </c>
      <c r="C1211" s="1" t="s">
        <v>24</v>
      </c>
      <c r="D1211" s="1" t="s">
        <v>2424</v>
      </c>
      <c r="E1211" s="1" t="s">
        <v>2425</v>
      </c>
      <c r="F1211" s="2">
        <v>155</v>
      </c>
      <c r="G1211" s="3">
        <v>45.8</v>
      </c>
      <c r="H1211" s="4" t="str">
        <f>IF(AND(A1211="Yes",C1211="School"),COUNTIFS($A$6:A1211,"Yes",$C$6:C1211,"School"),"")</f>
        <v/>
      </c>
    </row>
    <row r="1212" spans="1:8">
      <c r="A1212" s="13"/>
      <c r="B1212" s="1" t="s">
        <v>2299</v>
      </c>
      <c r="C1212" s="1" t="s">
        <v>24</v>
      </c>
      <c r="D1212" s="1" t="s">
        <v>2426</v>
      </c>
      <c r="E1212" s="1" t="s">
        <v>2427</v>
      </c>
      <c r="F1212" s="2">
        <v>129</v>
      </c>
      <c r="G1212" s="3">
        <v>52.7</v>
      </c>
      <c r="H1212" s="4" t="str">
        <f>IF(AND(A1212="Yes",C1212="School"),COUNTIFS($A$6:A1212,"Yes",$C$6:C1212,"School"),"")</f>
        <v/>
      </c>
    </row>
    <row r="1213" spans="1:8">
      <c r="A1213" s="13"/>
      <c r="B1213" s="1" t="s">
        <v>2299</v>
      </c>
      <c r="C1213" s="1" t="s">
        <v>24</v>
      </c>
      <c r="D1213" s="1" t="s">
        <v>2428</v>
      </c>
      <c r="E1213" s="1" t="s">
        <v>2429</v>
      </c>
      <c r="F1213" s="2">
        <v>410</v>
      </c>
      <c r="G1213" s="3">
        <v>51</v>
      </c>
      <c r="H1213" s="4" t="str">
        <f>IF(AND(A1213="Yes",C1213="School"),COUNTIFS($A$6:A1213,"Yes",$C$6:C1213,"School"),"")</f>
        <v/>
      </c>
    </row>
    <row r="1214" spans="1:8">
      <c r="A1214" s="13"/>
      <c r="B1214" s="1" t="s">
        <v>2299</v>
      </c>
      <c r="C1214" s="1" t="s">
        <v>24</v>
      </c>
      <c r="D1214" s="1" t="s">
        <v>2430</v>
      </c>
      <c r="E1214" s="1" t="s">
        <v>2431</v>
      </c>
      <c r="F1214" s="2">
        <v>269</v>
      </c>
      <c r="G1214" s="3">
        <v>58.7</v>
      </c>
      <c r="H1214" s="4" t="str">
        <f>IF(AND(A1214="Yes",C1214="School"),COUNTIFS($A$6:A1214,"Yes",$C$6:C1214,"School"),"")</f>
        <v/>
      </c>
    </row>
    <row r="1215" spans="1:8">
      <c r="A1215" s="13"/>
      <c r="B1215" s="1" t="s">
        <v>2299</v>
      </c>
      <c r="C1215" s="1" t="s">
        <v>24</v>
      </c>
      <c r="D1215" s="1" t="s">
        <v>2432</v>
      </c>
      <c r="E1215" s="1" t="s">
        <v>2433</v>
      </c>
      <c r="F1215" s="2">
        <v>467</v>
      </c>
      <c r="G1215" s="3">
        <v>73.7</v>
      </c>
      <c r="H1215" s="4" t="str">
        <f>IF(AND(A1215="Yes",C1215="School"),COUNTIFS($A$6:A1215,"Yes",$C$6:C1215,"School"),"")</f>
        <v/>
      </c>
    </row>
    <row r="1216" spans="1:8">
      <c r="A1216" s="13"/>
      <c r="B1216" s="1" t="s">
        <v>2299</v>
      </c>
      <c r="C1216" s="1" t="s">
        <v>24</v>
      </c>
      <c r="D1216" s="1" t="s">
        <v>2434</v>
      </c>
      <c r="E1216" s="1" t="s">
        <v>2435</v>
      </c>
      <c r="F1216" s="2">
        <v>521</v>
      </c>
      <c r="G1216" s="3">
        <v>65.8</v>
      </c>
      <c r="H1216" s="4" t="str">
        <f>IF(AND(A1216="Yes",C1216="School"),COUNTIFS($A$6:A1216,"Yes",$C$6:C1216,"School"),"")</f>
        <v/>
      </c>
    </row>
    <row r="1217" spans="1:8">
      <c r="A1217" s="13"/>
      <c r="B1217" s="1" t="s">
        <v>2299</v>
      </c>
      <c r="C1217" s="1" t="s">
        <v>24</v>
      </c>
      <c r="D1217" s="1" t="s">
        <v>2436</v>
      </c>
      <c r="E1217" s="1" t="s">
        <v>2437</v>
      </c>
      <c r="F1217" s="2">
        <v>249</v>
      </c>
      <c r="G1217" s="3">
        <v>45.4</v>
      </c>
      <c r="H1217" s="4" t="str">
        <f>IF(AND(A1217="Yes",C1217="School"),COUNTIFS($A$6:A1217,"Yes",$C$6:C1217,"School"),"")</f>
        <v/>
      </c>
    </row>
    <row r="1218" spans="1:8">
      <c r="A1218" s="13"/>
      <c r="B1218" s="1" t="s">
        <v>2299</v>
      </c>
      <c r="C1218" s="1" t="s">
        <v>24</v>
      </c>
      <c r="D1218" s="1" t="s">
        <v>2438</v>
      </c>
      <c r="E1218" s="1" t="s">
        <v>2439</v>
      </c>
      <c r="F1218" s="2">
        <v>993</v>
      </c>
      <c r="G1218" s="3">
        <v>58.4</v>
      </c>
      <c r="H1218" s="4" t="str">
        <f>IF(AND(A1218="Yes",C1218="School"),COUNTIFS($A$6:A1218,"Yes",$C$6:C1218,"School"),"")</f>
        <v/>
      </c>
    </row>
    <row r="1219" spans="1:8">
      <c r="A1219" s="13"/>
      <c r="B1219" s="1" t="s">
        <v>2299</v>
      </c>
      <c r="C1219" s="1" t="s">
        <v>24</v>
      </c>
      <c r="D1219" s="1" t="s">
        <v>2440</v>
      </c>
      <c r="E1219" s="1" t="s">
        <v>2441</v>
      </c>
      <c r="F1219" s="2">
        <v>642</v>
      </c>
      <c r="G1219" s="3">
        <v>65.900000000000006</v>
      </c>
      <c r="H1219" s="4" t="str">
        <f>IF(AND(A1219="Yes",C1219="School"),COUNTIFS($A$6:A1219,"Yes",$C$6:C1219,"School"),"")</f>
        <v/>
      </c>
    </row>
    <row r="1220" spans="1:8">
      <c r="A1220" s="13"/>
      <c r="B1220" s="1" t="s">
        <v>2299</v>
      </c>
      <c r="C1220" s="1" t="s">
        <v>24</v>
      </c>
      <c r="D1220" s="1" t="s">
        <v>2442</v>
      </c>
      <c r="E1220" s="1" t="s">
        <v>2443</v>
      </c>
      <c r="F1220" s="2">
        <v>623</v>
      </c>
      <c r="G1220" s="3">
        <v>22</v>
      </c>
      <c r="H1220" s="4" t="str">
        <f>IF(AND(A1220="Yes",C1220="School"),COUNTIFS($A$6:A1220,"Yes",$C$6:C1220,"School"),"")</f>
        <v/>
      </c>
    </row>
    <row r="1221" spans="1:8">
      <c r="A1221" s="13"/>
      <c r="B1221" s="1" t="s">
        <v>2299</v>
      </c>
      <c r="C1221" s="1" t="s">
        <v>24</v>
      </c>
      <c r="D1221" s="1" t="s">
        <v>2444</v>
      </c>
      <c r="E1221" s="1" t="s">
        <v>2445</v>
      </c>
      <c r="F1221" s="2">
        <v>1183</v>
      </c>
      <c r="G1221" s="3">
        <v>27</v>
      </c>
      <c r="H1221" s="4" t="str">
        <f>IF(AND(A1221="Yes",C1221="School"),COUNTIFS($A$6:A1221,"Yes",$C$6:C1221,"School"),"")</f>
        <v/>
      </c>
    </row>
    <row r="1222" spans="1:8">
      <c r="A1222" s="13"/>
      <c r="B1222" s="1" t="s">
        <v>2299</v>
      </c>
      <c r="C1222" s="1" t="s">
        <v>24</v>
      </c>
      <c r="D1222" s="1" t="s">
        <v>2446</v>
      </c>
      <c r="E1222" s="1" t="s">
        <v>2447</v>
      </c>
      <c r="F1222" s="2">
        <v>761</v>
      </c>
      <c r="G1222" s="3">
        <v>32.5</v>
      </c>
      <c r="H1222" s="4" t="str">
        <f>IF(AND(A1222="Yes",C1222="School"),COUNTIFS($A$6:A1222,"Yes",$C$6:C1222,"School"),"")</f>
        <v/>
      </c>
    </row>
    <row r="1223" spans="1:8">
      <c r="A1223" s="13"/>
      <c r="B1223" s="1" t="s">
        <v>2299</v>
      </c>
      <c r="C1223" s="1" t="s">
        <v>24</v>
      </c>
      <c r="D1223" s="1" t="s">
        <v>2448</v>
      </c>
      <c r="E1223" s="1" t="s">
        <v>2449</v>
      </c>
      <c r="F1223" s="2">
        <v>2030</v>
      </c>
      <c r="G1223" s="3">
        <v>20.2</v>
      </c>
      <c r="H1223" s="4" t="str">
        <f>IF(AND(A1223="Yes",C1223="School"),COUNTIFS($A$6:A1223,"Yes",$C$6:C1223,"School"),"")</f>
        <v/>
      </c>
    </row>
    <row r="1224" spans="1:8">
      <c r="A1224" s="13"/>
      <c r="B1224" s="1" t="s">
        <v>2299</v>
      </c>
      <c r="C1224" s="1" t="s">
        <v>24</v>
      </c>
      <c r="D1224" s="1" t="s">
        <v>2450</v>
      </c>
      <c r="E1224" s="1" t="s">
        <v>2451</v>
      </c>
      <c r="F1224" s="2">
        <v>940</v>
      </c>
      <c r="G1224" s="3">
        <v>19.600000000000001</v>
      </c>
      <c r="H1224" s="4" t="str">
        <f>IF(AND(A1224="Yes",C1224="School"),COUNTIFS($A$6:A1224,"Yes",$C$6:C1224,"School"),"")</f>
        <v/>
      </c>
    </row>
    <row r="1225" spans="1:8">
      <c r="A1225" s="13"/>
      <c r="B1225" s="1" t="s">
        <v>2299</v>
      </c>
      <c r="C1225" s="1" t="s">
        <v>24</v>
      </c>
      <c r="D1225" s="1" t="s">
        <v>2452</v>
      </c>
      <c r="E1225" s="1" t="s">
        <v>2453</v>
      </c>
      <c r="F1225" s="2">
        <v>506</v>
      </c>
      <c r="G1225" s="3">
        <v>75.7</v>
      </c>
      <c r="H1225" s="4" t="str">
        <f>IF(AND(A1225="Yes",C1225="School"),COUNTIFS($A$6:A1225,"Yes",$C$6:C1225,"School"),"")</f>
        <v/>
      </c>
    </row>
    <row r="1226" spans="1:8">
      <c r="A1226" s="13"/>
      <c r="B1226" s="1" t="s">
        <v>2299</v>
      </c>
      <c r="C1226" s="1" t="s">
        <v>24</v>
      </c>
      <c r="D1226" s="1" t="s">
        <v>517</v>
      </c>
      <c r="E1226" s="1" t="s">
        <v>2454</v>
      </c>
      <c r="F1226" s="2">
        <v>397</v>
      </c>
      <c r="G1226" s="3">
        <v>77.599999999999994</v>
      </c>
      <c r="H1226" s="4" t="str">
        <f>IF(AND(A1226="Yes",C1226="School"),COUNTIFS($A$6:A1226,"Yes",$C$6:C1226,"School"),"")</f>
        <v/>
      </c>
    </row>
    <row r="1227" spans="1:8">
      <c r="A1227" s="13"/>
      <c r="B1227" s="1" t="s">
        <v>2299</v>
      </c>
      <c r="C1227" s="1" t="s">
        <v>24</v>
      </c>
      <c r="D1227" s="1" t="s">
        <v>2455</v>
      </c>
      <c r="E1227" s="1" t="s">
        <v>2456</v>
      </c>
      <c r="F1227" s="2">
        <v>768</v>
      </c>
      <c r="G1227" s="3">
        <v>14.3</v>
      </c>
      <c r="H1227" s="4" t="str">
        <f>IF(AND(A1227="Yes",C1227="School"),COUNTIFS($A$6:A1227,"Yes",$C$6:C1227,"School"),"")</f>
        <v/>
      </c>
    </row>
    <row r="1228" spans="1:8">
      <c r="A1228" s="13"/>
      <c r="B1228" s="1" t="s">
        <v>2299</v>
      </c>
      <c r="C1228" s="1" t="s">
        <v>24</v>
      </c>
      <c r="D1228" s="1" t="s">
        <v>2457</v>
      </c>
      <c r="E1228" s="1" t="s">
        <v>2458</v>
      </c>
      <c r="F1228" s="2">
        <v>508</v>
      </c>
      <c r="G1228" s="3">
        <v>78</v>
      </c>
      <c r="H1228" s="4" t="str">
        <f>IF(AND(A1228="Yes",C1228="School"),COUNTIFS($A$6:A1228,"Yes",$C$6:C1228,"School"),"")</f>
        <v/>
      </c>
    </row>
    <row r="1229" spans="1:8">
      <c r="A1229" s="13"/>
      <c r="B1229" s="1" t="s">
        <v>2299</v>
      </c>
      <c r="C1229" s="1" t="s">
        <v>24</v>
      </c>
      <c r="D1229" s="1" t="s">
        <v>2459</v>
      </c>
      <c r="E1229" s="1" t="s">
        <v>2460</v>
      </c>
      <c r="F1229" s="2">
        <v>688</v>
      </c>
      <c r="G1229" s="3">
        <v>79.2</v>
      </c>
      <c r="H1229" s="4" t="str">
        <f>IF(AND(A1229="Yes",C1229="School"),COUNTIFS($A$6:A1229,"Yes",$C$6:C1229,"School"),"")</f>
        <v/>
      </c>
    </row>
    <row r="1230" spans="1:8">
      <c r="A1230" s="13"/>
      <c r="B1230" s="1" t="s">
        <v>2299</v>
      </c>
      <c r="C1230" s="1" t="s">
        <v>24</v>
      </c>
      <c r="D1230" s="1" t="s">
        <v>2461</v>
      </c>
      <c r="E1230" s="1" t="s">
        <v>2462</v>
      </c>
      <c r="F1230" s="2">
        <v>1644</v>
      </c>
      <c r="G1230" s="3">
        <v>48.7</v>
      </c>
      <c r="H1230" s="4" t="str">
        <f>IF(AND(A1230="Yes",C1230="School"),COUNTIFS($A$6:A1230,"Yes",$C$6:C1230,"School"),"")</f>
        <v/>
      </c>
    </row>
    <row r="1231" spans="1:8">
      <c r="A1231" s="13"/>
      <c r="B1231" s="1" t="s">
        <v>2299</v>
      </c>
      <c r="C1231" s="1" t="s">
        <v>24</v>
      </c>
      <c r="D1231" s="1" t="s">
        <v>2463</v>
      </c>
      <c r="E1231" s="1" t="s">
        <v>2464</v>
      </c>
      <c r="F1231" s="2">
        <v>268</v>
      </c>
      <c r="G1231" s="3">
        <v>83.6</v>
      </c>
      <c r="H1231" s="4" t="str">
        <f>IF(AND(A1231="Yes",C1231="School"),COUNTIFS($A$6:A1231,"Yes",$C$6:C1231,"School"),"")</f>
        <v/>
      </c>
    </row>
    <row r="1232" spans="1:8">
      <c r="A1232" s="13"/>
      <c r="B1232" s="1" t="s">
        <v>2299</v>
      </c>
      <c r="C1232" s="1" t="s">
        <v>24</v>
      </c>
      <c r="D1232" s="1" t="s">
        <v>2465</v>
      </c>
      <c r="E1232" s="1" t="s">
        <v>2466</v>
      </c>
      <c r="F1232" s="2">
        <v>393</v>
      </c>
      <c r="G1232" s="3">
        <v>59.5</v>
      </c>
      <c r="H1232" s="4" t="str">
        <f>IF(AND(A1232="Yes",C1232="School"),COUNTIFS($A$6:A1232,"Yes",$C$6:C1232,"School"),"")</f>
        <v/>
      </c>
    </row>
    <row r="1233" spans="1:8">
      <c r="A1233" s="13"/>
      <c r="B1233" s="1" t="s">
        <v>2299</v>
      </c>
      <c r="C1233" s="1" t="s">
        <v>24</v>
      </c>
      <c r="D1233" s="1" t="s">
        <v>2467</v>
      </c>
      <c r="E1233" s="1" t="s">
        <v>2468</v>
      </c>
      <c r="F1233" s="2">
        <v>540</v>
      </c>
      <c r="G1233" s="3">
        <v>58.3</v>
      </c>
      <c r="H1233" s="4" t="str">
        <f>IF(AND(A1233="Yes",C1233="School"),COUNTIFS($A$6:A1233,"Yes",$C$6:C1233,"School"),"")</f>
        <v/>
      </c>
    </row>
    <row r="1234" spans="1:8">
      <c r="A1234" s="13"/>
      <c r="B1234" s="1" t="s">
        <v>2299</v>
      </c>
      <c r="C1234" s="1" t="s">
        <v>24</v>
      </c>
      <c r="D1234" s="1" t="s">
        <v>2469</v>
      </c>
      <c r="E1234" s="1" t="s">
        <v>2470</v>
      </c>
      <c r="F1234" s="2">
        <v>263</v>
      </c>
      <c r="G1234" s="3">
        <v>22.8</v>
      </c>
      <c r="H1234" s="4" t="str">
        <f>IF(AND(A1234="Yes",C1234="School"),COUNTIFS($A$6:A1234,"Yes",$C$6:C1234,"School"),"")</f>
        <v/>
      </c>
    </row>
    <row r="1235" spans="1:8">
      <c r="A1235" s="13"/>
      <c r="B1235" s="1" t="s">
        <v>2299</v>
      </c>
      <c r="C1235" s="1" t="s">
        <v>24</v>
      </c>
      <c r="D1235" s="1" t="s">
        <v>1766</v>
      </c>
      <c r="E1235" s="1" t="s">
        <v>2471</v>
      </c>
      <c r="F1235" s="2">
        <v>531</v>
      </c>
      <c r="G1235" s="3">
        <v>62.1</v>
      </c>
      <c r="H1235" s="4" t="str">
        <f>IF(AND(A1235="Yes",C1235="School"),COUNTIFS($A$6:A1235,"Yes",$C$6:C1235,"School"),"")</f>
        <v/>
      </c>
    </row>
    <row r="1236" spans="1:8">
      <c r="A1236" s="13"/>
      <c r="B1236" s="1" t="s">
        <v>2299</v>
      </c>
      <c r="C1236" s="1" t="s">
        <v>24</v>
      </c>
      <c r="D1236" s="1" t="s">
        <v>2472</v>
      </c>
      <c r="E1236" s="1" t="s">
        <v>2473</v>
      </c>
      <c r="F1236" s="2">
        <v>452</v>
      </c>
      <c r="G1236" s="3">
        <v>46.7</v>
      </c>
      <c r="H1236" s="4" t="str">
        <f>IF(AND(A1236="Yes",C1236="School"),COUNTIFS($A$6:A1236,"Yes",$C$6:C1236,"School"),"")</f>
        <v/>
      </c>
    </row>
    <row r="1237" spans="1:8">
      <c r="A1237" s="13"/>
      <c r="B1237" s="1" t="s">
        <v>2299</v>
      </c>
      <c r="C1237" s="1" t="s">
        <v>24</v>
      </c>
      <c r="D1237" s="1" t="s">
        <v>2474</v>
      </c>
      <c r="E1237" s="1" t="s">
        <v>2475</v>
      </c>
      <c r="F1237" s="2">
        <v>24</v>
      </c>
      <c r="G1237" s="3">
        <v>91.7</v>
      </c>
      <c r="H1237" s="4" t="str">
        <f>IF(AND(A1237="Yes",C1237="School"),COUNTIFS($A$6:A1237,"Yes",$C$6:C1237,"School"),"")</f>
        <v/>
      </c>
    </row>
    <row r="1238" spans="1:8">
      <c r="A1238" s="13"/>
      <c r="B1238" s="1" t="s">
        <v>2299</v>
      </c>
      <c r="C1238" s="1" t="s">
        <v>24</v>
      </c>
      <c r="D1238" s="1" t="s">
        <v>2476</v>
      </c>
      <c r="E1238" s="1" t="s">
        <v>2477</v>
      </c>
      <c r="F1238" s="2">
        <v>686</v>
      </c>
      <c r="G1238" s="3">
        <v>79.7</v>
      </c>
      <c r="H1238" s="4" t="str">
        <f>IF(AND(A1238="Yes",C1238="School"),COUNTIFS($A$6:A1238,"Yes",$C$6:C1238,"School"),"")</f>
        <v/>
      </c>
    </row>
    <row r="1239" spans="1:8">
      <c r="A1239" s="13"/>
      <c r="B1239" s="1" t="s">
        <v>2299</v>
      </c>
      <c r="C1239" s="1" t="s">
        <v>24</v>
      </c>
      <c r="D1239" s="1" t="s">
        <v>2478</v>
      </c>
      <c r="E1239" s="1" t="s">
        <v>2479</v>
      </c>
      <c r="F1239" s="2">
        <v>611</v>
      </c>
      <c r="G1239" s="3">
        <v>61.4</v>
      </c>
      <c r="H1239" s="4" t="str">
        <f>IF(AND(A1239="Yes",C1239="School"),COUNTIFS($A$6:A1239,"Yes",$C$6:C1239,"School"),"")</f>
        <v/>
      </c>
    </row>
    <row r="1240" spans="1:8">
      <c r="A1240" s="13"/>
      <c r="B1240" s="1" t="s">
        <v>2299</v>
      </c>
      <c r="C1240" s="1" t="s">
        <v>24</v>
      </c>
      <c r="D1240" s="1" t="s">
        <v>2480</v>
      </c>
      <c r="E1240" s="1" t="s">
        <v>2481</v>
      </c>
      <c r="F1240" s="2">
        <v>401</v>
      </c>
      <c r="G1240" s="3">
        <v>72.8</v>
      </c>
      <c r="H1240" s="4" t="str">
        <f>IF(AND(A1240="Yes",C1240="School"),COUNTIFS($A$6:A1240,"Yes",$C$6:C1240,"School"),"")</f>
        <v/>
      </c>
    </row>
    <row r="1241" spans="1:8">
      <c r="A1241" s="13"/>
      <c r="B1241" s="1" t="s">
        <v>2299</v>
      </c>
      <c r="C1241" s="1" t="s">
        <v>24</v>
      </c>
      <c r="D1241" s="1" t="s">
        <v>2482</v>
      </c>
      <c r="E1241" s="1" t="s">
        <v>2483</v>
      </c>
      <c r="F1241" s="2">
        <v>36</v>
      </c>
      <c r="G1241" s="3">
        <v>83.3</v>
      </c>
      <c r="H1241" s="4" t="str">
        <f>IF(AND(A1241="Yes",C1241="School"),COUNTIFS($A$6:A1241,"Yes",$C$6:C1241,"School"),"")</f>
        <v/>
      </c>
    </row>
    <row r="1242" spans="1:8">
      <c r="A1242" s="13"/>
      <c r="B1242" s="1" t="s">
        <v>2299</v>
      </c>
      <c r="C1242" s="1" t="s">
        <v>24</v>
      </c>
      <c r="D1242" s="1" t="s">
        <v>2484</v>
      </c>
      <c r="E1242" s="1" t="s">
        <v>2485</v>
      </c>
      <c r="F1242" s="2">
        <v>532</v>
      </c>
      <c r="G1242" s="3">
        <v>53.8</v>
      </c>
      <c r="H1242" s="4" t="str">
        <f>IF(AND(A1242="Yes",C1242="School"),COUNTIFS($A$6:A1242,"Yes",$C$6:C1242,"School"),"")</f>
        <v/>
      </c>
    </row>
    <row r="1243" spans="1:8">
      <c r="A1243" s="13"/>
      <c r="B1243" s="1" t="s">
        <v>2299</v>
      </c>
      <c r="C1243" s="1" t="s">
        <v>24</v>
      </c>
      <c r="D1243" s="1" t="s">
        <v>2486</v>
      </c>
      <c r="E1243" s="1" t="s">
        <v>2487</v>
      </c>
      <c r="F1243" s="2">
        <v>467</v>
      </c>
      <c r="G1243" s="3">
        <v>69.599999999999994</v>
      </c>
      <c r="H1243" s="4" t="str">
        <f>IF(AND(A1243="Yes",C1243="School"),COUNTIFS($A$6:A1243,"Yes",$C$6:C1243,"School"),"")</f>
        <v/>
      </c>
    </row>
    <row r="1244" spans="1:8">
      <c r="A1244" s="13"/>
      <c r="B1244" s="1" t="s">
        <v>2299</v>
      </c>
      <c r="C1244" s="1" t="s">
        <v>24</v>
      </c>
      <c r="D1244" s="1" t="s">
        <v>2488</v>
      </c>
      <c r="E1244" s="1" t="s">
        <v>2489</v>
      </c>
      <c r="F1244" s="2">
        <v>318</v>
      </c>
      <c r="G1244" s="3">
        <v>63.8</v>
      </c>
      <c r="H1244" s="4" t="str">
        <f>IF(AND(A1244="Yes",C1244="School"),COUNTIFS($A$6:A1244,"Yes",$C$6:C1244,"School"),"")</f>
        <v/>
      </c>
    </row>
    <row r="1245" spans="1:8">
      <c r="A1245" s="13"/>
      <c r="B1245" s="1" t="s">
        <v>2299</v>
      </c>
      <c r="C1245" s="1" t="s">
        <v>24</v>
      </c>
      <c r="D1245" s="1" t="s">
        <v>2490</v>
      </c>
      <c r="E1245" s="1" t="s">
        <v>2491</v>
      </c>
      <c r="F1245" s="2">
        <v>1094</v>
      </c>
      <c r="G1245" s="3">
        <v>39</v>
      </c>
      <c r="H1245" s="4" t="str">
        <f>IF(AND(A1245="Yes",C1245="School"),COUNTIFS($A$6:A1245,"Yes",$C$6:C1245,"School"),"")</f>
        <v/>
      </c>
    </row>
    <row r="1246" spans="1:8">
      <c r="A1246" s="13"/>
      <c r="B1246" s="1" t="s">
        <v>2299</v>
      </c>
      <c r="C1246" s="1" t="s">
        <v>24</v>
      </c>
      <c r="D1246" s="1" t="s">
        <v>2492</v>
      </c>
      <c r="E1246" s="1" t="s">
        <v>2493</v>
      </c>
      <c r="F1246" s="2">
        <v>843</v>
      </c>
      <c r="G1246" s="3">
        <v>43.1</v>
      </c>
      <c r="H1246" s="4" t="str">
        <f>IF(AND(A1246="Yes",C1246="School"),COUNTIFS($A$6:A1246,"Yes",$C$6:C1246,"School"),"")</f>
        <v/>
      </c>
    </row>
    <row r="1247" spans="1:8">
      <c r="A1247" s="13"/>
      <c r="B1247" s="1" t="s">
        <v>2299</v>
      </c>
      <c r="C1247" s="1" t="s">
        <v>24</v>
      </c>
      <c r="D1247" s="1" t="s">
        <v>2494</v>
      </c>
      <c r="E1247" s="1" t="s">
        <v>2495</v>
      </c>
      <c r="F1247" s="2">
        <v>221</v>
      </c>
      <c r="G1247" s="3">
        <v>59.3</v>
      </c>
      <c r="H1247" s="4" t="str">
        <f>IF(AND(A1247="Yes",C1247="School"),COUNTIFS($A$6:A1247,"Yes",$C$6:C1247,"School"),"")</f>
        <v/>
      </c>
    </row>
    <row r="1248" spans="1:8">
      <c r="A1248" s="13"/>
      <c r="B1248" s="1" t="s">
        <v>2299</v>
      </c>
      <c r="C1248" s="1" t="s">
        <v>24</v>
      </c>
      <c r="D1248" s="1" t="s">
        <v>2496</v>
      </c>
      <c r="E1248" s="1" t="s">
        <v>2497</v>
      </c>
      <c r="F1248" s="2">
        <v>893</v>
      </c>
      <c r="G1248" s="3">
        <v>65.099999999999994</v>
      </c>
      <c r="H1248" s="4" t="str">
        <f>IF(AND(A1248="Yes",C1248="School"),COUNTIFS($A$6:A1248,"Yes",$C$6:C1248,"School"),"")</f>
        <v/>
      </c>
    </row>
    <row r="1249" spans="1:8">
      <c r="A1249" s="13"/>
      <c r="B1249" s="1" t="s">
        <v>2299</v>
      </c>
      <c r="C1249" s="1" t="s">
        <v>24</v>
      </c>
      <c r="D1249" s="1" t="s">
        <v>2498</v>
      </c>
      <c r="E1249" s="1" t="s">
        <v>2499</v>
      </c>
      <c r="F1249" s="2">
        <v>629</v>
      </c>
      <c r="G1249" s="3">
        <v>67.2</v>
      </c>
      <c r="H1249" s="4" t="str">
        <f>IF(AND(A1249="Yes",C1249="School"),COUNTIFS($A$6:A1249,"Yes",$C$6:C1249,"School"),"")</f>
        <v/>
      </c>
    </row>
    <row r="1250" spans="1:8">
      <c r="A1250" s="13"/>
      <c r="B1250" s="1" t="s">
        <v>2299</v>
      </c>
      <c r="C1250" s="1" t="s">
        <v>24</v>
      </c>
      <c r="D1250" s="1" t="s">
        <v>1955</v>
      </c>
      <c r="E1250" s="1" t="s">
        <v>2500</v>
      </c>
      <c r="F1250" s="2">
        <v>768</v>
      </c>
      <c r="G1250" s="3">
        <v>30.9</v>
      </c>
      <c r="H1250" s="4" t="str">
        <f>IF(AND(A1250="Yes",C1250="School"),COUNTIFS($A$6:A1250,"Yes",$C$6:C1250,"School"),"")</f>
        <v/>
      </c>
    </row>
    <row r="1251" spans="1:8">
      <c r="A1251" s="13"/>
      <c r="B1251" s="1" t="s">
        <v>2299</v>
      </c>
      <c r="C1251" s="1" t="s">
        <v>24</v>
      </c>
      <c r="D1251" s="1" t="s">
        <v>2501</v>
      </c>
      <c r="E1251" s="1" t="s">
        <v>2502</v>
      </c>
      <c r="F1251" s="2">
        <v>1356</v>
      </c>
      <c r="G1251" s="3">
        <v>42.1</v>
      </c>
      <c r="H1251" s="4" t="str">
        <f>IF(AND(A1251="Yes",C1251="School"),COUNTIFS($A$6:A1251,"Yes",$C$6:C1251,"School"),"")</f>
        <v/>
      </c>
    </row>
    <row r="1252" spans="1:8">
      <c r="A1252" s="13"/>
      <c r="B1252" s="1" t="s">
        <v>2299</v>
      </c>
      <c r="C1252" s="1" t="s">
        <v>24</v>
      </c>
      <c r="D1252" s="1" t="s">
        <v>2503</v>
      </c>
      <c r="E1252" s="1" t="s">
        <v>2504</v>
      </c>
      <c r="F1252" s="2">
        <v>1004</v>
      </c>
      <c r="G1252" s="3">
        <v>47.6</v>
      </c>
      <c r="H1252" s="4" t="str">
        <f>IF(AND(A1252="Yes",C1252="School"),COUNTIFS($A$6:A1252,"Yes",$C$6:C1252,"School"),"")</f>
        <v/>
      </c>
    </row>
    <row r="1253" spans="1:8">
      <c r="A1253" s="13"/>
      <c r="B1253" s="1" t="s">
        <v>2299</v>
      </c>
      <c r="C1253" s="1" t="s">
        <v>24</v>
      </c>
      <c r="D1253" s="1" t="s">
        <v>2505</v>
      </c>
      <c r="E1253" s="1" t="s">
        <v>2506</v>
      </c>
      <c r="F1253" s="2">
        <v>193</v>
      </c>
      <c r="G1253" s="3">
        <v>9.8000000000000007</v>
      </c>
      <c r="H1253" s="4" t="str">
        <f>IF(AND(A1253="Yes",C1253="School"),COUNTIFS($A$6:A1253,"Yes",$C$6:C1253,"School"),"")</f>
        <v/>
      </c>
    </row>
    <row r="1254" spans="1:8">
      <c r="A1254" s="13"/>
      <c r="B1254" s="1" t="s">
        <v>2299</v>
      </c>
      <c r="C1254" s="1" t="s">
        <v>24</v>
      </c>
      <c r="D1254" s="1" t="s">
        <v>2507</v>
      </c>
      <c r="E1254" s="1" t="s">
        <v>2508</v>
      </c>
      <c r="F1254" s="2">
        <v>480</v>
      </c>
      <c r="G1254" s="3">
        <v>9.4</v>
      </c>
      <c r="H1254" s="4" t="str">
        <f>IF(AND(A1254="Yes",C1254="School"),COUNTIFS($A$6:A1254,"Yes",$C$6:C1254,"School"),"")</f>
        <v/>
      </c>
    </row>
    <row r="1255" spans="1:8">
      <c r="A1255" s="13"/>
      <c r="B1255" s="1" t="s">
        <v>2299</v>
      </c>
      <c r="C1255" s="1" t="s">
        <v>24</v>
      </c>
      <c r="D1255" s="1" t="s">
        <v>2509</v>
      </c>
      <c r="E1255" s="1" t="s">
        <v>2510</v>
      </c>
      <c r="F1255" s="2">
        <v>474</v>
      </c>
      <c r="G1255" s="3">
        <v>25.5</v>
      </c>
      <c r="H1255" s="4" t="str">
        <f>IF(AND(A1255="Yes",C1255="School"),COUNTIFS($A$6:A1255,"Yes",$C$6:C1255,"School"),"")</f>
        <v/>
      </c>
    </row>
    <row r="1256" spans="1:8">
      <c r="A1256" s="13"/>
      <c r="B1256" s="1" t="s">
        <v>2299</v>
      </c>
      <c r="C1256" s="1" t="s">
        <v>24</v>
      </c>
      <c r="D1256" s="1" t="s">
        <v>2511</v>
      </c>
      <c r="E1256" s="1" t="s">
        <v>2512</v>
      </c>
      <c r="F1256" s="2">
        <v>571</v>
      </c>
      <c r="G1256" s="3">
        <v>24.9</v>
      </c>
      <c r="H1256" s="4" t="str">
        <f>IF(AND(A1256="Yes",C1256="School"),COUNTIFS($A$6:A1256,"Yes",$C$6:C1256,"School"),"")</f>
        <v/>
      </c>
    </row>
    <row r="1257" spans="1:8">
      <c r="A1257" s="13"/>
      <c r="B1257" s="1" t="s">
        <v>2299</v>
      </c>
      <c r="C1257" s="1" t="s">
        <v>24</v>
      </c>
      <c r="D1257" s="1" t="s">
        <v>2513</v>
      </c>
      <c r="E1257" s="1" t="s">
        <v>2514</v>
      </c>
      <c r="F1257" s="2">
        <v>514</v>
      </c>
      <c r="G1257" s="3">
        <v>78.2</v>
      </c>
      <c r="H1257" s="4" t="str">
        <f>IF(AND(A1257="Yes",C1257="School"),COUNTIFS($A$6:A1257,"Yes",$C$6:C1257,"School"),"")</f>
        <v/>
      </c>
    </row>
    <row r="1258" spans="1:8">
      <c r="A1258" s="13"/>
      <c r="B1258" s="1" t="s">
        <v>2299</v>
      </c>
      <c r="C1258" s="1" t="s">
        <v>24</v>
      </c>
      <c r="D1258" s="1" t="s">
        <v>2515</v>
      </c>
      <c r="E1258" s="1" t="s">
        <v>2516</v>
      </c>
      <c r="F1258" s="2">
        <v>111</v>
      </c>
      <c r="G1258" s="3">
        <v>32.4</v>
      </c>
      <c r="H1258" s="4" t="str">
        <f>IF(AND(A1258="Yes",C1258="School"),COUNTIFS($A$6:A1258,"Yes",$C$6:C1258,"School"),"")</f>
        <v/>
      </c>
    </row>
    <row r="1259" spans="1:8">
      <c r="A1259" s="13"/>
      <c r="B1259" s="1" t="s">
        <v>2299</v>
      </c>
      <c r="C1259" s="1" t="s">
        <v>24</v>
      </c>
      <c r="D1259" s="1" t="s">
        <v>2517</v>
      </c>
      <c r="E1259" s="1" t="s">
        <v>2518</v>
      </c>
      <c r="F1259" s="2">
        <v>756</v>
      </c>
      <c r="G1259" s="3">
        <v>66.099999999999994</v>
      </c>
      <c r="H1259" s="4" t="str">
        <f>IF(AND(A1259="Yes",C1259="School"),COUNTIFS($A$6:A1259,"Yes",$C$6:C1259,"School"),"")</f>
        <v/>
      </c>
    </row>
    <row r="1260" spans="1:8">
      <c r="A1260" s="13"/>
      <c r="B1260" s="1" t="s">
        <v>2299</v>
      </c>
      <c r="C1260" s="1" t="s">
        <v>24</v>
      </c>
      <c r="D1260" s="1" t="s">
        <v>2519</v>
      </c>
      <c r="E1260" s="1" t="s">
        <v>2520</v>
      </c>
      <c r="F1260" s="2">
        <v>386</v>
      </c>
      <c r="G1260" s="3">
        <v>71</v>
      </c>
      <c r="H1260" s="4" t="str">
        <f>IF(AND(A1260="Yes",C1260="School"),COUNTIFS($A$6:A1260,"Yes",$C$6:C1260,"School"),"")</f>
        <v/>
      </c>
    </row>
    <row r="1261" spans="1:8">
      <c r="A1261" s="13"/>
      <c r="B1261" s="1" t="s">
        <v>2299</v>
      </c>
      <c r="C1261" s="1" t="s">
        <v>24</v>
      </c>
      <c r="D1261" s="1" t="s">
        <v>2521</v>
      </c>
      <c r="E1261" s="1" t="s">
        <v>2522</v>
      </c>
      <c r="F1261" s="2">
        <v>192</v>
      </c>
      <c r="G1261" s="3">
        <v>38</v>
      </c>
      <c r="H1261" s="4" t="str">
        <f>IF(AND(A1261="Yes",C1261="School"),COUNTIFS($A$6:A1261,"Yes",$C$6:C1261,"School"),"")</f>
        <v/>
      </c>
    </row>
    <row r="1262" spans="1:8">
      <c r="A1262" s="13"/>
      <c r="B1262" s="1" t="s">
        <v>2299</v>
      </c>
      <c r="C1262" s="1" t="s">
        <v>24</v>
      </c>
      <c r="D1262" s="1" t="s">
        <v>2523</v>
      </c>
      <c r="E1262" s="1" t="s">
        <v>2524</v>
      </c>
      <c r="F1262" s="2">
        <v>522</v>
      </c>
      <c r="G1262" s="3">
        <v>79.900000000000006</v>
      </c>
      <c r="H1262" s="4" t="str">
        <f>IF(AND(A1262="Yes",C1262="School"),COUNTIFS($A$6:A1262,"Yes",$C$6:C1262,"School"),"")</f>
        <v/>
      </c>
    </row>
    <row r="1263" spans="1:8">
      <c r="A1263" s="13"/>
      <c r="B1263" s="1" t="s">
        <v>2299</v>
      </c>
      <c r="C1263" s="1" t="s">
        <v>24</v>
      </c>
      <c r="D1263" s="1" t="s">
        <v>2525</v>
      </c>
      <c r="E1263" s="1" t="s">
        <v>2526</v>
      </c>
      <c r="F1263" s="2">
        <v>223</v>
      </c>
      <c r="G1263" s="3">
        <v>79.400000000000006</v>
      </c>
      <c r="H1263" s="4" t="str">
        <f>IF(AND(A1263="Yes",C1263="School"),COUNTIFS($A$6:A1263,"Yes",$C$6:C1263,"School"),"")</f>
        <v/>
      </c>
    </row>
    <row r="1264" spans="1:8">
      <c r="A1264" s="13"/>
      <c r="B1264" s="1" t="s">
        <v>2299</v>
      </c>
      <c r="C1264" s="1" t="s">
        <v>24</v>
      </c>
      <c r="D1264" s="1" t="s">
        <v>2527</v>
      </c>
      <c r="E1264" s="1" t="s">
        <v>2528</v>
      </c>
      <c r="F1264" s="2">
        <v>496</v>
      </c>
      <c r="G1264" s="3">
        <v>80.2</v>
      </c>
      <c r="H1264" s="4" t="str">
        <f>IF(AND(A1264="Yes",C1264="School"),COUNTIFS($A$6:A1264,"Yes",$C$6:C1264,"School"),"")</f>
        <v/>
      </c>
    </row>
    <row r="1265" spans="1:8">
      <c r="A1265" s="13"/>
      <c r="B1265" s="1" t="s">
        <v>2299</v>
      </c>
      <c r="C1265" s="1" t="s">
        <v>24</v>
      </c>
      <c r="D1265" s="1" t="s">
        <v>1378</v>
      </c>
      <c r="E1265" s="1" t="s">
        <v>2529</v>
      </c>
      <c r="F1265" s="2">
        <v>181</v>
      </c>
      <c r="G1265" s="3">
        <v>92.8</v>
      </c>
      <c r="H1265" s="4" t="str">
        <f>IF(AND(A1265="Yes",C1265="School"),COUNTIFS($A$6:A1265,"Yes",$C$6:C1265,"School"),"")</f>
        <v/>
      </c>
    </row>
    <row r="1266" spans="1:8">
      <c r="A1266" s="13"/>
      <c r="B1266" s="1" t="s">
        <v>2299</v>
      </c>
      <c r="C1266" s="1" t="s">
        <v>24</v>
      </c>
      <c r="D1266" s="1" t="s">
        <v>2530</v>
      </c>
      <c r="E1266" s="1" t="s">
        <v>2531</v>
      </c>
      <c r="F1266" s="2">
        <v>411</v>
      </c>
      <c r="G1266" s="3">
        <v>74</v>
      </c>
      <c r="H1266" s="4" t="str">
        <f>IF(AND(A1266="Yes",C1266="School"),COUNTIFS($A$6:A1266,"Yes",$C$6:C1266,"School"),"")</f>
        <v/>
      </c>
    </row>
    <row r="1267" spans="1:8">
      <c r="A1267" s="13"/>
      <c r="B1267" s="1" t="s">
        <v>2299</v>
      </c>
      <c r="C1267" s="1" t="s">
        <v>24</v>
      </c>
      <c r="D1267" s="1" t="s">
        <v>2532</v>
      </c>
      <c r="E1267" s="1" t="s">
        <v>2533</v>
      </c>
      <c r="F1267" s="2">
        <v>1229</v>
      </c>
      <c r="G1267" s="3">
        <v>57.1</v>
      </c>
      <c r="H1267" s="4" t="str">
        <f>IF(AND(A1267="Yes",C1267="School"),COUNTIFS($A$6:A1267,"Yes",$C$6:C1267,"School"),"")</f>
        <v/>
      </c>
    </row>
    <row r="1268" spans="1:8">
      <c r="A1268" s="13"/>
      <c r="B1268" s="1" t="s">
        <v>2299</v>
      </c>
      <c r="C1268" s="1" t="s">
        <v>24</v>
      </c>
      <c r="D1268" s="1" t="s">
        <v>2534</v>
      </c>
      <c r="E1268" s="1" t="s">
        <v>2535</v>
      </c>
      <c r="F1268" s="2">
        <v>758</v>
      </c>
      <c r="G1268" s="3">
        <v>65.7</v>
      </c>
      <c r="H1268" s="4" t="str">
        <f>IF(AND(A1268="Yes",C1268="School"),COUNTIFS($A$6:A1268,"Yes",$C$6:C1268,"School"),"")</f>
        <v/>
      </c>
    </row>
    <row r="1269" spans="1:8">
      <c r="A1269" s="13"/>
      <c r="B1269" s="1" t="s">
        <v>2536</v>
      </c>
      <c r="C1269" s="1" t="s">
        <v>24</v>
      </c>
      <c r="D1269" s="1" t="s">
        <v>2536</v>
      </c>
      <c r="E1269" s="1" t="s">
        <v>2537</v>
      </c>
      <c r="F1269" s="2">
        <v>675</v>
      </c>
      <c r="G1269" s="3">
        <v>69</v>
      </c>
      <c r="H1269" s="4" t="str">
        <f>IF(AND(A1269="Yes",C1269="School"),COUNTIFS($A$6:A1269,"Yes",$C$6:C1269,"School"),"")</f>
        <v/>
      </c>
    </row>
    <row r="1270" spans="1:8">
      <c r="A1270" s="13"/>
      <c r="B1270" s="1" t="s">
        <v>2538</v>
      </c>
      <c r="C1270" s="1" t="s">
        <v>40</v>
      </c>
      <c r="D1270" s="1" t="s">
        <v>41</v>
      </c>
      <c r="E1270" s="1" t="s">
        <v>2539</v>
      </c>
      <c r="F1270" s="2">
        <v>2089</v>
      </c>
      <c r="G1270" s="3">
        <v>70.3</v>
      </c>
      <c r="H1270" s="4" t="str">
        <f>IF(AND(A1270="Yes",C1270="School"),COUNTIFS($A$6:A1270,"Yes",$C$6:C1270,"School"),"")</f>
        <v/>
      </c>
    </row>
    <row r="1271" spans="1:8">
      <c r="A1271" s="13"/>
      <c r="B1271" s="1" t="s">
        <v>2538</v>
      </c>
      <c r="C1271" s="1" t="s">
        <v>24</v>
      </c>
      <c r="D1271" s="1" t="s">
        <v>2540</v>
      </c>
      <c r="E1271" s="1" t="s">
        <v>2541</v>
      </c>
      <c r="F1271" s="2">
        <v>150</v>
      </c>
      <c r="G1271" s="3">
        <v>81.3</v>
      </c>
      <c r="H1271" s="4" t="str">
        <f>IF(AND(A1271="Yes",C1271="School"),COUNTIFS($A$6:A1271,"Yes",$C$6:C1271,"School"),"")</f>
        <v/>
      </c>
    </row>
    <row r="1272" spans="1:8">
      <c r="A1272" s="13"/>
      <c r="B1272" s="1" t="s">
        <v>2538</v>
      </c>
      <c r="C1272" s="1" t="s">
        <v>24</v>
      </c>
      <c r="D1272" s="1" t="s">
        <v>2542</v>
      </c>
      <c r="E1272" s="1" t="s">
        <v>2543</v>
      </c>
      <c r="F1272" s="2">
        <v>173</v>
      </c>
      <c r="G1272" s="3">
        <v>68.2</v>
      </c>
      <c r="H1272" s="4" t="str">
        <f>IF(AND(A1272="Yes",C1272="School"),COUNTIFS($A$6:A1272,"Yes",$C$6:C1272,"School"),"")</f>
        <v/>
      </c>
    </row>
    <row r="1273" spans="1:8">
      <c r="A1273" s="13"/>
      <c r="B1273" s="1" t="s">
        <v>2538</v>
      </c>
      <c r="C1273" s="1" t="s">
        <v>24</v>
      </c>
      <c r="D1273" s="1" t="s">
        <v>2544</v>
      </c>
      <c r="E1273" s="1" t="s">
        <v>2545</v>
      </c>
      <c r="F1273" s="2">
        <v>253</v>
      </c>
      <c r="G1273" s="3">
        <v>67.599999999999994</v>
      </c>
      <c r="H1273" s="4" t="str">
        <f>IF(AND(A1273="Yes",C1273="School"),COUNTIFS($A$6:A1273,"Yes",$C$6:C1273,"School"),"")</f>
        <v/>
      </c>
    </row>
    <row r="1274" spans="1:8">
      <c r="A1274" s="13"/>
      <c r="B1274" s="1" t="s">
        <v>2538</v>
      </c>
      <c r="C1274" s="1" t="s">
        <v>24</v>
      </c>
      <c r="D1274" s="1" t="s">
        <v>2546</v>
      </c>
      <c r="E1274" s="1" t="s">
        <v>2547</v>
      </c>
      <c r="F1274" s="2">
        <v>125</v>
      </c>
      <c r="G1274" s="3">
        <v>55.2</v>
      </c>
      <c r="H1274" s="4" t="str">
        <f>IF(AND(A1274="Yes",C1274="School"),COUNTIFS($A$6:A1274,"Yes",$C$6:C1274,"School"),"")</f>
        <v/>
      </c>
    </row>
    <row r="1275" spans="1:8">
      <c r="A1275" s="13"/>
      <c r="B1275" s="1" t="s">
        <v>2538</v>
      </c>
      <c r="C1275" s="1" t="s">
        <v>24</v>
      </c>
      <c r="D1275" s="1" t="s">
        <v>2548</v>
      </c>
      <c r="E1275" s="1" t="s">
        <v>2549</v>
      </c>
      <c r="F1275" s="2">
        <v>154</v>
      </c>
      <c r="G1275" s="3">
        <v>68.2</v>
      </c>
      <c r="H1275" s="4" t="str">
        <f>IF(AND(A1275="Yes",C1275="School"),COUNTIFS($A$6:A1275,"Yes",$C$6:C1275,"School"),"")</f>
        <v/>
      </c>
    </row>
    <row r="1276" spans="1:8">
      <c r="A1276" s="13"/>
      <c r="B1276" s="1" t="s">
        <v>2538</v>
      </c>
      <c r="C1276" s="1" t="s">
        <v>24</v>
      </c>
      <c r="D1276" s="1" t="s">
        <v>2550</v>
      </c>
      <c r="E1276" s="1" t="s">
        <v>2551</v>
      </c>
      <c r="F1276" s="2">
        <v>227</v>
      </c>
      <c r="G1276" s="3">
        <v>77.099999999999994</v>
      </c>
      <c r="H1276" s="4" t="str">
        <f>IF(AND(A1276="Yes",C1276="School"),COUNTIFS($A$6:A1276,"Yes",$C$6:C1276,"School"),"")</f>
        <v/>
      </c>
    </row>
    <row r="1277" spans="1:8">
      <c r="A1277" s="13"/>
      <c r="B1277" s="1" t="s">
        <v>2538</v>
      </c>
      <c r="C1277" s="1" t="s">
        <v>24</v>
      </c>
      <c r="D1277" s="1" t="s">
        <v>2552</v>
      </c>
      <c r="E1277" s="1" t="s">
        <v>2553</v>
      </c>
      <c r="F1277" s="2">
        <v>284</v>
      </c>
      <c r="G1277" s="3">
        <v>72.5</v>
      </c>
      <c r="H1277" s="4" t="str">
        <f>IF(AND(A1277="Yes",C1277="School"),COUNTIFS($A$6:A1277,"Yes",$C$6:C1277,"School"),"")</f>
        <v/>
      </c>
    </row>
    <row r="1278" spans="1:8">
      <c r="A1278" s="13"/>
      <c r="B1278" s="1" t="s">
        <v>2538</v>
      </c>
      <c r="C1278" s="1" t="s">
        <v>24</v>
      </c>
      <c r="D1278" s="1" t="s">
        <v>2554</v>
      </c>
      <c r="E1278" s="1" t="s">
        <v>2555</v>
      </c>
      <c r="F1278" s="2">
        <v>120</v>
      </c>
      <c r="G1278" s="3">
        <v>75.8</v>
      </c>
      <c r="H1278" s="4" t="str">
        <f>IF(AND(A1278="Yes",C1278="School"),COUNTIFS($A$6:A1278,"Yes",$C$6:C1278,"School"),"")</f>
        <v/>
      </c>
    </row>
    <row r="1279" spans="1:8">
      <c r="A1279" s="13"/>
      <c r="B1279" s="1" t="s">
        <v>2538</v>
      </c>
      <c r="C1279" s="1" t="s">
        <v>24</v>
      </c>
      <c r="D1279" s="1" t="s">
        <v>2556</v>
      </c>
      <c r="E1279" s="1" t="s">
        <v>2557</v>
      </c>
      <c r="F1279" s="2">
        <v>146</v>
      </c>
      <c r="G1279" s="3">
        <v>74</v>
      </c>
      <c r="H1279" s="4" t="str">
        <f>IF(AND(A1279="Yes",C1279="School"),COUNTIFS($A$6:A1279,"Yes",$C$6:C1279,"School"),"")</f>
        <v/>
      </c>
    </row>
    <row r="1280" spans="1:8">
      <c r="A1280" s="13"/>
      <c r="B1280" s="1" t="s">
        <v>2538</v>
      </c>
      <c r="C1280" s="1" t="s">
        <v>24</v>
      </c>
      <c r="D1280" s="1" t="s">
        <v>2558</v>
      </c>
      <c r="E1280" s="1" t="s">
        <v>2559</v>
      </c>
      <c r="F1280" s="2">
        <v>206</v>
      </c>
      <c r="G1280" s="3">
        <v>70.400000000000006</v>
      </c>
      <c r="H1280" s="4" t="str">
        <f>IF(AND(A1280="Yes",C1280="School"),COUNTIFS($A$6:A1280,"Yes",$C$6:C1280,"School"),"")</f>
        <v/>
      </c>
    </row>
    <row r="1281" spans="1:8">
      <c r="A1281" s="13"/>
      <c r="B1281" s="1" t="s">
        <v>2538</v>
      </c>
      <c r="C1281" s="1" t="s">
        <v>24</v>
      </c>
      <c r="D1281" s="1" t="s">
        <v>2560</v>
      </c>
      <c r="E1281" s="1" t="s">
        <v>2561</v>
      </c>
      <c r="F1281" s="2">
        <v>251</v>
      </c>
      <c r="G1281" s="3">
        <v>63.3</v>
      </c>
      <c r="H1281" s="4" t="str">
        <f>IF(AND(A1281="Yes",C1281="School"),COUNTIFS($A$6:A1281,"Yes",$C$6:C1281,"School"),"")</f>
        <v/>
      </c>
    </row>
    <row r="1282" spans="1:8">
      <c r="A1282" s="13"/>
      <c r="B1282" s="1" t="s">
        <v>2562</v>
      </c>
      <c r="C1282" s="1" t="s">
        <v>24</v>
      </c>
      <c r="D1282" s="1" t="s">
        <v>2562</v>
      </c>
      <c r="E1282" s="1" t="s">
        <v>2563</v>
      </c>
      <c r="F1282" s="2">
        <v>143</v>
      </c>
      <c r="G1282" s="3">
        <v>78.3</v>
      </c>
      <c r="H1282" s="4" t="str">
        <f>IF(AND(A1282="Yes",C1282="School"),COUNTIFS($A$6:A1282,"Yes",$C$6:C1282,"School"),"")</f>
        <v/>
      </c>
    </row>
    <row r="1283" spans="1:8">
      <c r="A1283" s="13"/>
      <c r="B1283" s="1" t="s">
        <v>2564</v>
      </c>
      <c r="C1283" s="1" t="s">
        <v>40</v>
      </c>
      <c r="D1283" s="1" t="s">
        <v>41</v>
      </c>
      <c r="E1283" s="1" t="s">
        <v>2565</v>
      </c>
      <c r="F1283" s="2">
        <v>19772</v>
      </c>
      <c r="G1283" s="3">
        <v>48.7</v>
      </c>
      <c r="H1283" s="4" t="str">
        <f>IF(AND(A1283="Yes",C1283="School"),COUNTIFS($A$6:A1283,"Yes",$C$6:C1283,"School"),"")</f>
        <v/>
      </c>
    </row>
    <row r="1284" spans="1:8">
      <c r="A1284" s="13"/>
      <c r="B1284" s="1" t="s">
        <v>2564</v>
      </c>
      <c r="C1284" s="1" t="s">
        <v>24</v>
      </c>
      <c r="D1284" s="1" t="s">
        <v>2566</v>
      </c>
      <c r="E1284" s="1" t="s">
        <v>2567</v>
      </c>
      <c r="F1284" s="2">
        <v>551</v>
      </c>
      <c r="G1284" s="3">
        <v>57</v>
      </c>
      <c r="H1284" s="4" t="str">
        <f>IF(AND(A1284="Yes",C1284="School"),COUNTIFS($A$6:A1284,"Yes",$C$6:C1284,"School"),"")</f>
        <v/>
      </c>
    </row>
    <row r="1285" spans="1:8">
      <c r="A1285" s="13"/>
      <c r="B1285" s="1" t="s">
        <v>2564</v>
      </c>
      <c r="C1285" s="1" t="s">
        <v>24</v>
      </c>
      <c r="D1285" s="1" t="s">
        <v>2568</v>
      </c>
      <c r="E1285" s="1" t="s">
        <v>2569</v>
      </c>
      <c r="F1285" s="2">
        <v>388</v>
      </c>
      <c r="G1285" s="3">
        <v>54.9</v>
      </c>
      <c r="H1285" s="4" t="str">
        <f>IF(AND(A1285="Yes",C1285="School"),COUNTIFS($A$6:A1285,"Yes",$C$6:C1285,"School"),"")</f>
        <v/>
      </c>
    </row>
    <row r="1286" spans="1:8">
      <c r="A1286" s="13"/>
      <c r="B1286" s="1" t="s">
        <v>2564</v>
      </c>
      <c r="C1286" s="1" t="s">
        <v>24</v>
      </c>
      <c r="D1286" s="1" t="s">
        <v>2570</v>
      </c>
      <c r="E1286" s="1" t="s">
        <v>2571</v>
      </c>
      <c r="F1286" s="2">
        <v>1030</v>
      </c>
      <c r="G1286" s="3">
        <v>31.4</v>
      </c>
      <c r="H1286" s="4" t="str">
        <f>IF(AND(A1286="Yes",C1286="School"),COUNTIFS($A$6:A1286,"Yes",$C$6:C1286,"School"),"")</f>
        <v/>
      </c>
    </row>
    <row r="1287" spans="1:8">
      <c r="A1287" s="13"/>
      <c r="B1287" s="1" t="s">
        <v>2564</v>
      </c>
      <c r="C1287" s="1" t="s">
        <v>24</v>
      </c>
      <c r="D1287" s="1" t="s">
        <v>2572</v>
      </c>
      <c r="E1287" s="1" t="s">
        <v>2573</v>
      </c>
      <c r="F1287" s="2">
        <v>584</v>
      </c>
      <c r="G1287" s="3">
        <v>56.8</v>
      </c>
      <c r="H1287" s="4" t="str">
        <f>IF(AND(A1287="Yes",C1287="School"),COUNTIFS($A$6:A1287,"Yes",$C$6:C1287,"School"),"")</f>
        <v/>
      </c>
    </row>
    <row r="1288" spans="1:8">
      <c r="A1288" s="13"/>
      <c r="B1288" s="1" t="s">
        <v>2564</v>
      </c>
      <c r="C1288" s="1" t="s">
        <v>24</v>
      </c>
      <c r="D1288" s="1" t="s">
        <v>2574</v>
      </c>
      <c r="E1288" s="1" t="s">
        <v>2575</v>
      </c>
      <c r="F1288" s="2">
        <v>285</v>
      </c>
      <c r="G1288" s="3">
        <v>47</v>
      </c>
      <c r="H1288" s="4" t="str">
        <f>IF(AND(A1288="Yes",C1288="School"),COUNTIFS($A$6:A1288,"Yes",$C$6:C1288,"School"),"")</f>
        <v/>
      </c>
    </row>
    <row r="1289" spans="1:8">
      <c r="A1289" s="13"/>
      <c r="B1289" s="1" t="s">
        <v>2564</v>
      </c>
      <c r="C1289" s="1" t="s">
        <v>24</v>
      </c>
      <c r="D1289" s="1" t="s">
        <v>2576</v>
      </c>
      <c r="E1289" s="1" t="s">
        <v>2577</v>
      </c>
      <c r="F1289" s="2">
        <v>614</v>
      </c>
      <c r="G1289" s="3">
        <v>57.3</v>
      </c>
      <c r="H1289" s="4" t="str">
        <f>IF(AND(A1289="Yes",C1289="School"),COUNTIFS($A$6:A1289,"Yes",$C$6:C1289,"School"),"")</f>
        <v/>
      </c>
    </row>
    <row r="1290" spans="1:8">
      <c r="A1290" s="13"/>
      <c r="B1290" s="1" t="s">
        <v>2564</v>
      </c>
      <c r="C1290" s="1" t="s">
        <v>24</v>
      </c>
      <c r="D1290" s="1" t="s">
        <v>2578</v>
      </c>
      <c r="E1290" s="1" t="s">
        <v>2579</v>
      </c>
      <c r="F1290" s="2">
        <v>607</v>
      </c>
      <c r="G1290" s="3">
        <v>54.2</v>
      </c>
      <c r="H1290" s="4" t="str">
        <f>IF(AND(A1290="Yes",C1290="School"),COUNTIFS($A$6:A1290,"Yes",$C$6:C1290,"School"),"")</f>
        <v/>
      </c>
    </row>
    <row r="1291" spans="1:8">
      <c r="A1291" s="13"/>
      <c r="B1291" s="1" t="s">
        <v>2564</v>
      </c>
      <c r="C1291" s="1" t="s">
        <v>24</v>
      </c>
      <c r="D1291" s="1" t="s">
        <v>2580</v>
      </c>
      <c r="E1291" s="1" t="s">
        <v>2581</v>
      </c>
      <c r="F1291" s="2">
        <v>790</v>
      </c>
      <c r="G1291" s="3">
        <v>72.900000000000006</v>
      </c>
      <c r="H1291" s="4" t="str">
        <f>IF(AND(A1291="Yes",C1291="School"),COUNTIFS($A$6:A1291,"Yes",$C$6:C1291,"School"),"")</f>
        <v/>
      </c>
    </row>
    <row r="1292" spans="1:8">
      <c r="A1292" s="13"/>
      <c r="B1292" s="1" t="s">
        <v>2564</v>
      </c>
      <c r="C1292" s="1" t="s">
        <v>24</v>
      </c>
      <c r="D1292" s="1" t="s">
        <v>2582</v>
      </c>
      <c r="E1292" s="1" t="s">
        <v>2583</v>
      </c>
      <c r="F1292" s="2">
        <v>366</v>
      </c>
      <c r="G1292" s="3">
        <v>66.900000000000006</v>
      </c>
      <c r="H1292" s="4" t="str">
        <f>IF(AND(A1292="Yes",C1292="School"),COUNTIFS($A$6:A1292,"Yes",$C$6:C1292,"School"),"")</f>
        <v/>
      </c>
    </row>
    <row r="1293" spans="1:8">
      <c r="A1293" s="13"/>
      <c r="B1293" s="1" t="s">
        <v>2564</v>
      </c>
      <c r="C1293" s="1" t="s">
        <v>24</v>
      </c>
      <c r="D1293" s="1" t="s">
        <v>2584</v>
      </c>
      <c r="E1293" s="1" t="s">
        <v>2585</v>
      </c>
      <c r="F1293" s="2">
        <v>640</v>
      </c>
      <c r="G1293" s="3">
        <v>67.8</v>
      </c>
      <c r="H1293" s="4" t="str">
        <f>IF(AND(A1293="Yes",C1293="School"),COUNTIFS($A$6:A1293,"Yes",$C$6:C1293,"School"),"")</f>
        <v/>
      </c>
    </row>
    <row r="1294" spans="1:8">
      <c r="A1294" s="13"/>
      <c r="B1294" s="1" t="s">
        <v>2564</v>
      </c>
      <c r="C1294" s="1" t="s">
        <v>24</v>
      </c>
      <c r="D1294" s="1" t="s">
        <v>2586</v>
      </c>
      <c r="E1294" s="1" t="s">
        <v>2587</v>
      </c>
      <c r="F1294" s="2">
        <v>1451</v>
      </c>
      <c r="G1294" s="3">
        <v>41.6</v>
      </c>
      <c r="H1294" s="4" t="str">
        <f>IF(AND(A1294="Yes",C1294="School"),COUNTIFS($A$6:A1294,"Yes",$C$6:C1294,"School"),"")</f>
        <v/>
      </c>
    </row>
    <row r="1295" spans="1:8">
      <c r="A1295" s="13"/>
      <c r="B1295" s="1" t="s">
        <v>2564</v>
      </c>
      <c r="C1295" s="1" t="s">
        <v>24</v>
      </c>
      <c r="D1295" s="1" t="s">
        <v>2588</v>
      </c>
      <c r="E1295" s="1" t="s">
        <v>2589</v>
      </c>
      <c r="F1295" s="2">
        <v>1102</v>
      </c>
      <c r="G1295" s="3">
        <v>49.4</v>
      </c>
      <c r="H1295" s="4" t="str">
        <f>IF(AND(A1295="Yes",C1295="School"),COUNTIFS($A$6:A1295,"Yes",$C$6:C1295,"School"),"")</f>
        <v/>
      </c>
    </row>
    <row r="1296" spans="1:8">
      <c r="A1296" s="13"/>
      <c r="B1296" s="1" t="s">
        <v>2564</v>
      </c>
      <c r="C1296" s="1" t="s">
        <v>24</v>
      </c>
      <c r="D1296" s="1" t="s">
        <v>2590</v>
      </c>
      <c r="E1296" s="1" t="s">
        <v>2591</v>
      </c>
      <c r="F1296" s="2">
        <v>204</v>
      </c>
      <c r="G1296" s="3">
        <v>31.4</v>
      </c>
      <c r="H1296" s="4" t="str">
        <f>IF(AND(A1296="Yes",C1296="School"),COUNTIFS($A$6:A1296,"Yes",$C$6:C1296,"School"),"")</f>
        <v/>
      </c>
    </row>
    <row r="1297" spans="1:8">
      <c r="A1297" s="13"/>
      <c r="B1297" s="1" t="s">
        <v>2564</v>
      </c>
      <c r="C1297" s="1" t="s">
        <v>24</v>
      </c>
      <c r="D1297" s="1" t="s">
        <v>2592</v>
      </c>
      <c r="E1297" s="1" t="s">
        <v>2593</v>
      </c>
      <c r="F1297" s="2">
        <v>86</v>
      </c>
      <c r="G1297" s="3">
        <v>57</v>
      </c>
      <c r="H1297" s="4" t="str">
        <f>IF(AND(A1297="Yes",C1297="School"),COUNTIFS($A$6:A1297,"Yes",$C$6:C1297,"School"),"")</f>
        <v/>
      </c>
    </row>
    <row r="1298" spans="1:8">
      <c r="A1298" s="13"/>
      <c r="B1298" s="1" t="s">
        <v>2564</v>
      </c>
      <c r="C1298" s="1" t="s">
        <v>24</v>
      </c>
      <c r="D1298" s="1" t="s">
        <v>79</v>
      </c>
      <c r="E1298" s="1" t="s">
        <v>2594</v>
      </c>
      <c r="F1298" s="2">
        <v>826</v>
      </c>
      <c r="G1298" s="3">
        <v>42.1</v>
      </c>
      <c r="H1298" s="4" t="str">
        <f>IF(AND(A1298="Yes",C1298="School"),COUNTIFS($A$6:A1298,"Yes",$C$6:C1298,"School"),"")</f>
        <v/>
      </c>
    </row>
    <row r="1299" spans="1:8">
      <c r="A1299" s="13"/>
      <c r="B1299" s="1" t="s">
        <v>2564</v>
      </c>
      <c r="C1299" s="1" t="s">
        <v>24</v>
      </c>
      <c r="D1299" s="1" t="s">
        <v>2595</v>
      </c>
      <c r="E1299" s="1" t="s">
        <v>2596</v>
      </c>
      <c r="F1299" s="2">
        <v>752</v>
      </c>
      <c r="G1299" s="3">
        <v>45.9</v>
      </c>
      <c r="H1299" s="4" t="str">
        <f>IF(AND(A1299="Yes",C1299="School"),COUNTIFS($A$6:A1299,"Yes",$C$6:C1299,"School"),"")</f>
        <v/>
      </c>
    </row>
    <row r="1300" spans="1:8">
      <c r="A1300" s="13"/>
      <c r="B1300" s="1" t="s">
        <v>2564</v>
      </c>
      <c r="C1300" s="1" t="s">
        <v>24</v>
      </c>
      <c r="D1300" s="1" t="s">
        <v>2597</v>
      </c>
      <c r="E1300" s="1" t="s">
        <v>2598</v>
      </c>
      <c r="F1300" s="2">
        <v>486</v>
      </c>
      <c r="G1300" s="3">
        <v>64.599999999999994</v>
      </c>
      <c r="H1300" s="4" t="str">
        <f>IF(AND(A1300="Yes",C1300="School"),COUNTIFS($A$6:A1300,"Yes",$C$6:C1300,"School"),"")</f>
        <v/>
      </c>
    </row>
    <row r="1301" spans="1:8">
      <c r="A1301" s="13"/>
      <c r="B1301" s="1" t="s">
        <v>2564</v>
      </c>
      <c r="C1301" s="1" t="s">
        <v>24</v>
      </c>
      <c r="D1301" s="1" t="s">
        <v>2599</v>
      </c>
      <c r="E1301" s="1" t="s">
        <v>2600</v>
      </c>
      <c r="F1301" s="2">
        <v>220</v>
      </c>
      <c r="G1301" s="3">
        <v>30</v>
      </c>
      <c r="H1301" s="4" t="str">
        <f>IF(AND(A1301="Yes",C1301="School"),COUNTIFS($A$6:A1301,"Yes",$C$6:C1301,"School"),"")</f>
        <v/>
      </c>
    </row>
    <row r="1302" spans="1:8">
      <c r="A1302" s="13"/>
      <c r="B1302" s="1" t="s">
        <v>2564</v>
      </c>
      <c r="C1302" s="1" t="s">
        <v>24</v>
      </c>
      <c r="D1302" s="1" t="s">
        <v>2601</v>
      </c>
      <c r="E1302" s="1" t="s">
        <v>2602</v>
      </c>
      <c r="F1302" s="2">
        <v>743</v>
      </c>
      <c r="G1302" s="3">
        <v>62.2</v>
      </c>
      <c r="H1302" s="4" t="str">
        <f>IF(AND(A1302="Yes",C1302="School"),COUNTIFS($A$6:A1302,"Yes",$C$6:C1302,"School"),"")</f>
        <v/>
      </c>
    </row>
    <row r="1303" spans="1:8">
      <c r="A1303" s="13"/>
      <c r="B1303" s="1" t="s">
        <v>2564</v>
      </c>
      <c r="C1303" s="1" t="s">
        <v>24</v>
      </c>
      <c r="D1303" s="1" t="s">
        <v>2603</v>
      </c>
      <c r="E1303" s="1" t="s">
        <v>2604</v>
      </c>
      <c r="F1303" s="2">
        <v>399</v>
      </c>
      <c r="G1303" s="3">
        <v>66.2</v>
      </c>
      <c r="H1303" s="4" t="str">
        <f>IF(AND(A1303="Yes",C1303="School"),COUNTIFS($A$6:A1303,"Yes",$C$6:C1303,"School"),"")</f>
        <v/>
      </c>
    </row>
    <row r="1304" spans="1:8">
      <c r="A1304" s="13"/>
      <c r="B1304" s="1" t="s">
        <v>2564</v>
      </c>
      <c r="C1304" s="1" t="s">
        <v>24</v>
      </c>
      <c r="D1304" s="1" t="s">
        <v>2605</v>
      </c>
      <c r="E1304" s="1" t="s">
        <v>2606</v>
      </c>
      <c r="F1304" s="2">
        <v>713</v>
      </c>
      <c r="G1304" s="3">
        <v>34.5</v>
      </c>
      <c r="H1304" s="4" t="str">
        <f>IF(AND(A1304="Yes",C1304="School"),COUNTIFS($A$6:A1304,"Yes",$C$6:C1304,"School"),"")</f>
        <v/>
      </c>
    </row>
    <row r="1305" spans="1:8">
      <c r="A1305" s="13"/>
      <c r="B1305" s="1" t="s">
        <v>2564</v>
      </c>
      <c r="C1305" s="1" t="s">
        <v>24</v>
      </c>
      <c r="D1305" s="1" t="s">
        <v>2607</v>
      </c>
      <c r="E1305" s="1" t="s">
        <v>2608</v>
      </c>
      <c r="F1305" s="2">
        <v>866</v>
      </c>
      <c r="G1305" s="3">
        <v>42.3</v>
      </c>
      <c r="H1305" s="4" t="str">
        <f>IF(AND(A1305="Yes",C1305="School"),COUNTIFS($A$6:A1305,"Yes",$C$6:C1305,"School"),"")</f>
        <v/>
      </c>
    </row>
    <row r="1306" spans="1:8">
      <c r="A1306" s="13"/>
      <c r="B1306" s="1" t="s">
        <v>2564</v>
      </c>
      <c r="C1306" s="1" t="s">
        <v>24</v>
      </c>
      <c r="D1306" s="1" t="s">
        <v>2609</v>
      </c>
      <c r="E1306" s="1" t="s">
        <v>2610</v>
      </c>
      <c r="F1306" s="2">
        <v>1733</v>
      </c>
      <c r="G1306" s="3">
        <v>36.4</v>
      </c>
      <c r="H1306" s="4" t="str">
        <f>IF(AND(A1306="Yes",C1306="School"),COUNTIFS($A$6:A1306,"Yes",$C$6:C1306,"School"),"")</f>
        <v/>
      </c>
    </row>
    <row r="1307" spans="1:8">
      <c r="A1307" s="13"/>
      <c r="B1307" s="1" t="s">
        <v>2564</v>
      </c>
      <c r="C1307" s="1" t="s">
        <v>24</v>
      </c>
      <c r="D1307" s="1" t="s">
        <v>2611</v>
      </c>
      <c r="E1307" s="1" t="s">
        <v>2612</v>
      </c>
      <c r="F1307" s="2">
        <v>750</v>
      </c>
      <c r="G1307" s="3">
        <v>47.1</v>
      </c>
      <c r="H1307" s="4" t="str">
        <f>IF(AND(A1307="Yes",C1307="School"),COUNTIFS($A$6:A1307,"Yes",$C$6:C1307,"School"),"")</f>
        <v/>
      </c>
    </row>
    <row r="1308" spans="1:8">
      <c r="A1308" s="13"/>
      <c r="B1308" s="1" t="s">
        <v>2564</v>
      </c>
      <c r="C1308" s="1" t="s">
        <v>24</v>
      </c>
      <c r="D1308" s="1" t="s">
        <v>2613</v>
      </c>
      <c r="E1308" s="1" t="s">
        <v>2614</v>
      </c>
      <c r="F1308" s="2">
        <v>456</v>
      </c>
      <c r="G1308" s="3">
        <v>52.4</v>
      </c>
      <c r="H1308" s="4" t="str">
        <f>IF(AND(A1308="Yes",C1308="School"),COUNTIFS($A$6:A1308,"Yes",$C$6:C1308,"School"),"")</f>
        <v/>
      </c>
    </row>
    <row r="1309" spans="1:8">
      <c r="A1309" s="13"/>
      <c r="B1309" s="1" t="s">
        <v>2564</v>
      </c>
      <c r="C1309" s="1" t="s">
        <v>24</v>
      </c>
      <c r="D1309" s="1" t="s">
        <v>2615</v>
      </c>
      <c r="E1309" s="1" t="s">
        <v>2616</v>
      </c>
      <c r="F1309" s="2">
        <v>131</v>
      </c>
      <c r="G1309" s="3">
        <v>81.7</v>
      </c>
      <c r="H1309" s="4" t="str">
        <f>IF(AND(A1309="Yes",C1309="School"),COUNTIFS($A$6:A1309,"Yes",$C$6:C1309,"School"),"")</f>
        <v/>
      </c>
    </row>
    <row r="1310" spans="1:8">
      <c r="A1310" s="13"/>
      <c r="B1310" s="1" t="s">
        <v>2564</v>
      </c>
      <c r="C1310" s="1" t="s">
        <v>24</v>
      </c>
      <c r="D1310" s="1" t="s">
        <v>2617</v>
      </c>
      <c r="E1310" s="1" t="s">
        <v>2618</v>
      </c>
      <c r="F1310" s="2">
        <v>1161</v>
      </c>
      <c r="G1310" s="3">
        <v>52.1</v>
      </c>
      <c r="H1310" s="4" t="str">
        <f>IF(AND(A1310="Yes",C1310="School"),COUNTIFS($A$6:A1310,"Yes",$C$6:C1310,"School"),"")</f>
        <v/>
      </c>
    </row>
    <row r="1311" spans="1:8">
      <c r="A1311" s="13"/>
      <c r="B1311" s="1" t="s">
        <v>2564</v>
      </c>
      <c r="C1311" s="1" t="s">
        <v>24</v>
      </c>
      <c r="D1311" s="1" t="s">
        <v>2619</v>
      </c>
      <c r="E1311" s="1" t="s">
        <v>2620</v>
      </c>
      <c r="F1311" s="2">
        <v>1182</v>
      </c>
      <c r="G1311" s="3">
        <v>43.7</v>
      </c>
      <c r="H1311" s="4" t="str">
        <f>IF(AND(A1311="Yes",C1311="School"),COUNTIFS($A$6:A1311,"Yes",$C$6:C1311,"School"),"")</f>
        <v/>
      </c>
    </row>
    <row r="1312" spans="1:8">
      <c r="A1312" s="13"/>
      <c r="B1312" s="1" t="s">
        <v>2564</v>
      </c>
      <c r="C1312" s="1" t="s">
        <v>24</v>
      </c>
      <c r="D1312" s="1" t="s">
        <v>2621</v>
      </c>
      <c r="E1312" s="1" t="s">
        <v>2622</v>
      </c>
      <c r="F1312" s="2">
        <v>656</v>
      </c>
      <c r="G1312" s="3">
        <v>38.1</v>
      </c>
      <c r="H1312" s="4" t="str">
        <f>IF(AND(A1312="Yes",C1312="School"),COUNTIFS($A$6:A1312,"Yes",$C$6:C1312,"School"),"")</f>
        <v/>
      </c>
    </row>
    <row r="1313" spans="1:8">
      <c r="A1313" s="13"/>
      <c r="B1313" s="1" t="s">
        <v>2623</v>
      </c>
      <c r="C1313" s="1" t="s">
        <v>40</v>
      </c>
      <c r="D1313" s="1" t="s">
        <v>41</v>
      </c>
      <c r="E1313" s="1" t="s">
        <v>2624</v>
      </c>
      <c r="F1313" s="2">
        <v>6279</v>
      </c>
      <c r="G1313" s="3">
        <v>53.5</v>
      </c>
      <c r="H1313" s="4" t="str">
        <f>IF(AND(A1313="Yes",C1313="School"),COUNTIFS($A$6:A1313,"Yes",$C$6:C1313,"School"),"")</f>
        <v/>
      </c>
    </row>
    <row r="1314" spans="1:8">
      <c r="A1314" s="13"/>
      <c r="B1314" s="1" t="s">
        <v>2623</v>
      </c>
      <c r="C1314" s="1" t="s">
        <v>24</v>
      </c>
      <c r="D1314" s="1" t="s">
        <v>537</v>
      </c>
      <c r="E1314" s="1" t="s">
        <v>2625</v>
      </c>
      <c r="F1314" s="2">
        <v>509</v>
      </c>
      <c r="G1314" s="3">
        <v>55.8</v>
      </c>
      <c r="H1314" s="4" t="str">
        <f>IF(AND(A1314="Yes",C1314="School"),COUNTIFS($A$6:A1314,"Yes",$C$6:C1314,"School"),"")</f>
        <v/>
      </c>
    </row>
    <row r="1315" spans="1:8">
      <c r="A1315" s="13"/>
      <c r="B1315" s="1" t="s">
        <v>2623</v>
      </c>
      <c r="C1315" s="1" t="s">
        <v>24</v>
      </c>
      <c r="D1315" s="1" t="s">
        <v>2626</v>
      </c>
      <c r="E1315" s="1" t="s">
        <v>2627</v>
      </c>
      <c r="F1315" s="2">
        <v>266</v>
      </c>
      <c r="G1315" s="3">
        <v>45.5</v>
      </c>
      <c r="H1315" s="4" t="str">
        <f>IF(AND(A1315="Yes",C1315="School"),COUNTIFS($A$6:A1315,"Yes",$C$6:C1315,"School"),"")</f>
        <v/>
      </c>
    </row>
    <row r="1316" spans="1:8">
      <c r="A1316" s="13"/>
      <c r="B1316" s="1" t="s">
        <v>2623</v>
      </c>
      <c r="C1316" s="1" t="s">
        <v>24</v>
      </c>
      <c r="D1316" s="1" t="s">
        <v>2628</v>
      </c>
      <c r="E1316" s="1" t="s">
        <v>2629</v>
      </c>
      <c r="F1316" s="2">
        <v>501</v>
      </c>
      <c r="G1316" s="3">
        <v>52.7</v>
      </c>
      <c r="H1316" s="4" t="str">
        <f>IF(AND(A1316="Yes",C1316="School"),COUNTIFS($A$6:A1316,"Yes",$C$6:C1316,"School"),"")</f>
        <v/>
      </c>
    </row>
    <row r="1317" spans="1:8">
      <c r="A1317" s="13"/>
      <c r="B1317" s="1" t="s">
        <v>2623</v>
      </c>
      <c r="C1317" s="1" t="s">
        <v>24</v>
      </c>
      <c r="D1317" s="1" t="s">
        <v>2630</v>
      </c>
      <c r="E1317" s="1" t="s">
        <v>2631</v>
      </c>
      <c r="F1317" s="2">
        <v>45</v>
      </c>
      <c r="G1317" s="3">
        <v>91.1</v>
      </c>
      <c r="H1317" s="4" t="str">
        <f>IF(AND(A1317="Yes",C1317="School"),COUNTIFS($A$6:A1317,"Yes",$C$6:C1317,"School"),"")</f>
        <v/>
      </c>
    </row>
    <row r="1318" spans="1:8">
      <c r="A1318" s="13"/>
      <c r="B1318" s="1" t="s">
        <v>2623</v>
      </c>
      <c r="C1318" s="1" t="s">
        <v>24</v>
      </c>
      <c r="D1318" s="1" t="s">
        <v>2632</v>
      </c>
      <c r="E1318" s="1" t="s">
        <v>2633</v>
      </c>
      <c r="F1318" s="2">
        <v>502</v>
      </c>
      <c r="G1318" s="3">
        <v>63.7</v>
      </c>
      <c r="H1318" s="4" t="str">
        <f>IF(AND(A1318="Yes",C1318="School"),COUNTIFS($A$6:A1318,"Yes",$C$6:C1318,"School"),"")</f>
        <v/>
      </c>
    </row>
    <row r="1319" spans="1:8">
      <c r="A1319" s="13"/>
      <c r="B1319" s="1" t="s">
        <v>2623</v>
      </c>
      <c r="C1319" s="1" t="s">
        <v>24</v>
      </c>
      <c r="D1319" s="1" t="s">
        <v>2634</v>
      </c>
      <c r="E1319" s="1" t="s">
        <v>2635</v>
      </c>
      <c r="F1319" s="2">
        <v>165</v>
      </c>
      <c r="G1319" s="3">
        <v>32.700000000000003</v>
      </c>
      <c r="H1319" s="4" t="str">
        <f>IF(AND(A1319="Yes",C1319="School"),COUNTIFS($A$6:A1319,"Yes",$C$6:C1319,"School"),"")</f>
        <v/>
      </c>
    </row>
    <row r="1320" spans="1:8">
      <c r="A1320" s="13"/>
      <c r="B1320" s="1" t="s">
        <v>2623</v>
      </c>
      <c r="C1320" s="1" t="s">
        <v>24</v>
      </c>
      <c r="D1320" s="1" t="s">
        <v>2636</v>
      </c>
      <c r="E1320" s="1" t="s">
        <v>2637</v>
      </c>
      <c r="F1320" s="2">
        <v>470</v>
      </c>
      <c r="G1320" s="3">
        <v>66.2</v>
      </c>
      <c r="H1320" s="4" t="str">
        <f>IF(AND(A1320="Yes",C1320="School"),COUNTIFS($A$6:A1320,"Yes",$C$6:C1320,"School"),"")</f>
        <v/>
      </c>
    </row>
    <row r="1321" spans="1:8">
      <c r="A1321" s="13"/>
      <c r="B1321" s="1" t="s">
        <v>2623</v>
      </c>
      <c r="C1321" s="1" t="s">
        <v>24</v>
      </c>
      <c r="D1321" s="1" t="s">
        <v>2638</v>
      </c>
      <c r="E1321" s="1" t="s">
        <v>2639</v>
      </c>
      <c r="F1321" s="2">
        <v>350</v>
      </c>
      <c r="G1321" s="3">
        <v>58.9</v>
      </c>
      <c r="H1321" s="4" t="str">
        <f>IF(AND(A1321="Yes",C1321="School"),COUNTIFS($A$6:A1321,"Yes",$C$6:C1321,"School"),"")</f>
        <v/>
      </c>
    </row>
    <row r="1322" spans="1:8">
      <c r="A1322" s="13"/>
      <c r="B1322" s="1" t="s">
        <v>2623</v>
      </c>
      <c r="C1322" s="1" t="s">
        <v>24</v>
      </c>
      <c r="D1322" s="1" t="s">
        <v>2640</v>
      </c>
      <c r="E1322" s="1" t="s">
        <v>2641</v>
      </c>
      <c r="F1322" s="2">
        <v>462</v>
      </c>
      <c r="G1322" s="3">
        <v>51.1</v>
      </c>
      <c r="H1322" s="4" t="str">
        <f>IF(AND(A1322="Yes",C1322="School"),COUNTIFS($A$6:A1322,"Yes",$C$6:C1322,"School"),"")</f>
        <v/>
      </c>
    </row>
    <row r="1323" spans="1:8">
      <c r="A1323" s="13"/>
      <c r="B1323" s="1" t="s">
        <v>2623</v>
      </c>
      <c r="C1323" s="1" t="s">
        <v>24</v>
      </c>
      <c r="D1323" s="1" t="s">
        <v>2642</v>
      </c>
      <c r="E1323" s="1" t="s">
        <v>2643</v>
      </c>
      <c r="F1323" s="2">
        <v>184</v>
      </c>
      <c r="G1323" s="3">
        <v>63</v>
      </c>
      <c r="H1323" s="4" t="str">
        <f>IF(AND(A1323="Yes",C1323="School"),COUNTIFS($A$6:A1323,"Yes",$C$6:C1323,"School"),"")</f>
        <v/>
      </c>
    </row>
    <row r="1324" spans="1:8">
      <c r="A1324" s="13"/>
      <c r="B1324" s="1" t="s">
        <v>2623</v>
      </c>
      <c r="C1324" s="1" t="s">
        <v>24</v>
      </c>
      <c r="D1324" s="1" t="s">
        <v>2644</v>
      </c>
      <c r="E1324" s="1" t="s">
        <v>2645</v>
      </c>
      <c r="F1324" s="2">
        <v>325</v>
      </c>
      <c r="G1324" s="3">
        <v>58.5</v>
      </c>
      <c r="H1324" s="4" t="str">
        <f>IF(AND(A1324="Yes",C1324="School"),COUNTIFS($A$6:A1324,"Yes",$C$6:C1324,"School"),"")</f>
        <v/>
      </c>
    </row>
    <row r="1325" spans="1:8">
      <c r="A1325" s="13"/>
      <c r="B1325" s="1" t="s">
        <v>2623</v>
      </c>
      <c r="C1325" s="1" t="s">
        <v>24</v>
      </c>
      <c r="D1325" s="1" t="s">
        <v>2646</v>
      </c>
      <c r="E1325" s="1" t="s">
        <v>2647</v>
      </c>
      <c r="F1325" s="2">
        <v>801</v>
      </c>
      <c r="G1325" s="3">
        <v>46.8</v>
      </c>
      <c r="H1325" s="4" t="str">
        <f>IF(AND(A1325="Yes",C1325="School"),COUNTIFS($A$6:A1325,"Yes",$C$6:C1325,"School"),"")</f>
        <v/>
      </c>
    </row>
    <row r="1326" spans="1:8">
      <c r="A1326" s="13"/>
      <c r="B1326" s="1" t="s">
        <v>2623</v>
      </c>
      <c r="C1326" s="1" t="s">
        <v>24</v>
      </c>
      <c r="D1326" s="1" t="s">
        <v>2648</v>
      </c>
      <c r="E1326" s="1" t="s">
        <v>2649</v>
      </c>
      <c r="F1326" s="2">
        <v>196</v>
      </c>
      <c r="G1326" s="3">
        <v>49.5</v>
      </c>
      <c r="H1326" s="4" t="str">
        <f>IF(AND(A1326="Yes",C1326="School"),COUNTIFS($A$6:A1326,"Yes",$C$6:C1326,"School"),"")</f>
        <v/>
      </c>
    </row>
    <row r="1327" spans="1:8">
      <c r="A1327" s="13"/>
      <c r="B1327" s="1" t="s">
        <v>2623</v>
      </c>
      <c r="C1327" s="1" t="s">
        <v>24</v>
      </c>
      <c r="D1327" s="1" t="s">
        <v>2650</v>
      </c>
      <c r="E1327" s="1" t="s">
        <v>2651</v>
      </c>
      <c r="F1327" s="2">
        <v>802</v>
      </c>
      <c r="G1327" s="3">
        <v>46.4</v>
      </c>
      <c r="H1327" s="4" t="str">
        <f>IF(AND(A1327="Yes",C1327="School"),COUNTIFS($A$6:A1327,"Yes",$C$6:C1327,"School"),"")</f>
        <v/>
      </c>
    </row>
    <row r="1328" spans="1:8">
      <c r="A1328" s="13"/>
      <c r="B1328" s="1" t="s">
        <v>2623</v>
      </c>
      <c r="C1328" s="1" t="s">
        <v>24</v>
      </c>
      <c r="D1328" s="1" t="s">
        <v>2652</v>
      </c>
      <c r="E1328" s="1" t="s">
        <v>2653</v>
      </c>
      <c r="F1328" s="2">
        <v>701</v>
      </c>
      <c r="G1328" s="3">
        <v>53.2</v>
      </c>
      <c r="H1328" s="4" t="str">
        <f>IF(AND(A1328="Yes",C1328="School"),COUNTIFS($A$6:A1328,"Yes",$C$6:C1328,"School"),"")</f>
        <v/>
      </c>
    </row>
    <row r="1329" spans="1:8">
      <c r="A1329" s="13"/>
      <c r="B1329" s="1" t="s">
        <v>2654</v>
      </c>
      <c r="C1329" s="1" t="s">
        <v>24</v>
      </c>
      <c r="D1329" s="1" t="s">
        <v>2654</v>
      </c>
      <c r="E1329" s="1" t="s">
        <v>2655</v>
      </c>
      <c r="F1329" s="2">
        <v>1322</v>
      </c>
      <c r="G1329" s="3">
        <v>68.5</v>
      </c>
      <c r="H1329" s="4" t="str">
        <f>IF(AND(A1329="Yes",C1329="School"),COUNTIFS($A$6:A1329,"Yes",$C$6:C1329,"School"),"")</f>
        <v/>
      </c>
    </row>
    <row r="1330" spans="1:8">
      <c r="A1330" s="13"/>
      <c r="B1330" s="1" t="s">
        <v>2656</v>
      </c>
      <c r="C1330" s="1" t="s">
        <v>40</v>
      </c>
      <c r="D1330" s="1" t="s">
        <v>41</v>
      </c>
      <c r="E1330" s="1" t="s">
        <v>2657</v>
      </c>
      <c r="F1330" s="2">
        <v>11966</v>
      </c>
      <c r="G1330" s="3">
        <v>51.1</v>
      </c>
      <c r="H1330" s="4" t="str">
        <f>IF(AND(A1330="Yes",C1330="School"),COUNTIFS($A$6:A1330,"Yes",$C$6:C1330,"School"),"")</f>
        <v/>
      </c>
    </row>
    <row r="1331" spans="1:8">
      <c r="A1331" s="13"/>
      <c r="B1331" s="1" t="s">
        <v>2656</v>
      </c>
      <c r="C1331" s="1" t="s">
        <v>24</v>
      </c>
      <c r="D1331" s="1" t="s">
        <v>2658</v>
      </c>
      <c r="E1331" s="1" t="s">
        <v>2659</v>
      </c>
      <c r="F1331" s="2">
        <v>800</v>
      </c>
      <c r="G1331" s="3">
        <v>67.8</v>
      </c>
      <c r="H1331" s="4" t="str">
        <f>IF(AND(A1331="Yes",C1331="School"),COUNTIFS($A$6:A1331,"Yes",$C$6:C1331,"School"),"")</f>
        <v/>
      </c>
    </row>
    <row r="1332" spans="1:8">
      <c r="A1332" s="13"/>
      <c r="B1332" s="1" t="s">
        <v>2656</v>
      </c>
      <c r="C1332" s="1" t="s">
        <v>24</v>
      </c>
      <c r="D1332" s="1" t="s">
        <v>2660</v>
      </c>
      <c r="E1332" s="1" t="s">
        <v>2661</v>
      </c>
      <c r="F1332" s="2">
        <v>253</v>
      </c>
      <c r="G1332" s="3">
        <v>40.700000000000003</v>
      </c>
      <c r="H1332" s="4" t="str">
        <f>IF(AND(A1332="Yes",C1332="School"),COUNTIFS($A$6:A1332,"Yes",$C$6:C1332,"School"),"")</f>
        <v/>
      </c>
    </row>
    <row r="1333" spans="1:8">
      <c r="A1333" s="13"/>
      <c r="B1333" s="1" t="s">
        <v>2656</v>
      </c>
      <c r="C1333" s="1" t="s">
        <v>24</v>
      </c>
      <c r="D1333" s="1" t="s">
        <v>2662</v>
      </c>
      <c r="E1333" s="1" t="s">
        <v>2663</v>
      </c>
      <c r="F1333" s="2">
        <v>478</v>
      </c>
      <c r="G1333" s="3">
        <v>52.3</v>
      </c>
      <c r="H1333" s="4" t="str">
        <f>IF(AND(A1333="Yes",C1333="School"),COUNTIFS($A$6:A1333,"Yes",$C$6:C1333,"School"),"")</f>
        <v/>
      </c>
    </row>
    <row r="1334" spans="1:8">
      <c r="A1334" s="13"/>
      <c r="B1334" s="1" t="s">
        <v>2656</v>
      </c>
      <c r="C1334" s="1" t="s">
        <v>24</v>
      </c>
      <c r="D1334" s="1" t="s">
        <v>922</v>
      </c>
      <c r="E1334" s="1" t="s">
        <v>2664</v>
      </c>
      <c r="F1334" s="2">
        <v>429</v>
      </c>
      <c r="G1334" s="3">
        <v>51</v>
      </c>
      <c r="H1334" s="4" t="str">
        <f>IF(AND(A1334="Yes",C1334="School"),COUNTIFS($A$6:A1334,"Yes",$C$6:C1334,"School"),"")</f>
        <v/>
      </c>
    </row>
    <row r="1335" spans="1:8">
      <c r="A1335" s="13"/>
      <c r="B1335" s="1" t="s">
        <v>2656</v>
      </c>
      <c r="C1335" s="1" t="s">
        <v>24</v>
      </c>
      <c r="D1335" s="1" t="s">
        <v>2665</v>
      </c>
      <c r="E1335" s="1" t="s">
        <v>2666</v>
      </c>
      <c r="F1335" s="2">
        <v>362</v>
      </c>
      <c r="G1335" s="3">
        <v>58.6</v>
      </c>
      <c r="H1335" s="4" t="str">
        <f>IF(AND(A1335="Yes",C1335="School"),COUNTIFS($A$6:A1335,"Yes",$C$6:C1335,"School"),"")</f>
        <v/>
      </c>
    </row>
    <row r="1336" spans="1:8">
      <c r="A1336" s="13"/>
      <c r="B1336" s="1" t="s">
        <v>2656</v>
      </c>
      <c r="C1336" s="1" t="s">
        <v>24</v>
      </c>
      <c r="D1336" s="1" t="s">
        <v>2667</v>
      </c>
      <c r="E1336" s="1" t="s">
        <v>2668</v>
      </c>
      <c r="F1336" s="2">
        <v>784</v>
      </c>
      <c r="G1336" s="3">
        <v>60.5</v>
      </c>
      <c r="H1336" s="4" t="str">
        <f>IF(AND(A1336="Yes",C1336="School"),COUNTIFS($A$6:A1336,"Yes",$C$6:C1336,"School"),"")</f>
        <v/>
      </c>
    </row>
    <row r="1337" spans="1:8">
      <c r="A1337" s="13"/>
      <c r="B1337" s="1" t="s">
        <v>2656</v>
      </c>
      <c r="C1337" s="1" t="s">
        <v>24</v>
      </c>
      <c r="D1337" s="1" t="s">
        <v>2669</v>
      </c>
      <c r="E1337" s="1" t="s">
        <v>2670</v>
      </c>
      <c r="F1337" s="2">
        <v>412</v>
      </c>
      <c r="G1337" s="3">
        <v>49.8</v>
      </c>
      <c r="H1337" s="4" t="str">
        <f>IF(AND(A1337="Yes",C1337="School"),COUNTIFS($A$6:A1337,"Yes",$C$6:C1337,"School"),"")</f>
        <v/>
      </c>
    </row>
    <row r="1338" spans="1:8">
      <c r="A1338" s="13"/>
      <c r="B1338" s="1" t="s">
        <v>2656</v>
      </c>
      <c r="C1338" s="1" t="s">
        <v>24</v>
      </c>
      <c r="D1338" s="1" t="s">
        <v>2671</v>
      </c>
      <c r="E1338" s="1" t="s">
        <v>2672</v>
      </c>
      <c r="F1338" s="2">
        <v>329</v>
      </c>
      <c r="G1338" s="3">
        <v>56.2</v>
      </c>
      <c r="H1338" s="4" t="str">
        <f>IF(AND(A1338="Yes",C1338="School"),COUNTIFS($A$6:A1338,"Yes",$C$6:C1338,"School"),"")</f>
        <v/>
      </c>
    </row>
    <row r="1339" spans="1:8">
      <c r="A1339" s="13"/>
      <c r="B1339" s="1" t="s">
        <v>2656</v>
      </c>
      <c r="C1339" s="1" t="s">
        <v>24</v>
      </c>
      <c r="D1339" s="1" t="s">
        <v>2673</v>
      </c>
      <c r="E1339" s="1" t="s">
        <v>2674</v>
      </c>
      <c r="F1339" s="2">
        <v>722</v>
      </c>
      <c r="G1339" s="3">
        <v>72.3</v>
      </c>
      <c r="H1339" s="4" t="str">
        <f>IF(AND(A1339="Yes",C1339="School"),COUNTIFS($A$6:A1339,"Yes",$C$6:C1339,"School"),"")</f>
        <v/>
      </c>
    </row>
    <row r="1340" spans="1:8">
      <c r="A1340" s="13"/>
      <c r="B1340" s="1" t="s">
        <v>2656</v>
      </c>
      <c r="C1340" s="1" t="s">
        <v>24</v>
      </c>
      <c r="D1340" s="1" t="s">
        <v>2675</v>
      </c>
      <c r="E1340" s="1" t="s">
        <v>2676</v>
      </c>
      <c r="F1340" s="2">
        <v>369</v>
      </c>
      <c r="G1340" s="3">
        <v>56.4</v>
      </c>
      <c r="H1340" s="4" t="str">
        <f>IF(AND(A1340="Yes",C1340="School"),COUNTIFS($A$6:A1340,"Yes",$C$6:C1340,"School"),"")</f>
        <v/>
      </c>
    </row>
    <row r="1341" spans="1:8">
      <c r="A1341" s="13"/>
      <c r="B1341" s="1" t="s">
        <v>2656</v>
      </c>
      <c r="C1341" s="1" t="s">
        <v>24</v>
      </c>
      <c r="D1341" s="1" t="s">
        <v>2677</v>
      </c>
      <c r="E1341" s="1" t="s">
        <v>2678</v>
      </c>
      <c r="F1341" s="2">
        <v>522</v>
      </c>
      <c r="G1341" s="3">
        <v>32.200000000000003</v>
      </c>
      <c r="H1341" s="4" t="str">
        <f>IF(AND(A1341="Yes",C1341="School"),COUNTIFS($A$6:A1341,"Yes",$C$6:C1341,"School"),"")</f>
        <v/>
      </c>
    </row>
    <row r="1342" spans="1:8">
      <c r="A1342" s="13"/>
      <c r="B1342" s="1" t="s">
        <v>2656</v>
      </c>
      <c r="C1342" s="1" t="s">
        <v>24</v>
      </c>
      <c r="D1342" s="1" t="s">
        <v>2679</v>
      </c>
      <c r="E1342" s="1" t="s">
        <v>2680</v>
      </c>
      <c r="F1342" s="2">
        <v>101</v>
      </c>
      <c r="G1342" s="3">
        <v>55.4</v>
      </c>
      <c r="H1342" s="4" t="str">
        <f>IF(AND(A1342="Yes",C1342="School"),COUNTIFS($A$6:A1342,"Yes",$C$6:C1342,"School"),"")</f>
        <v/>
      </c>
    </row>
    <row r="1343" spans="1:8">
      <c r="A1343" s="13"/>
      <c r="B1343" s="1" t="s">
        <v>2656</v>
      </c>
      <c r="C1343" s="1" t="s">
        <v>24</v>
      </c>
      <c r="D1343" s="1" t="s">
        <v>2681</v>
      </c>
      <c r="E1343" s="1" t="s">
        <v>2682</v>
      </c>
      <c r="F1343" s="2">
        <v>192</v>
      </c>
      <c r="G1343" s="3">
        <v>45.8</v>
      </c>
      <c r="H1343" s="4" t="str">
        <f>IF(AND(A1343="Yes",C1343="School"),COUNTIFS($A$6:A1343,"Yes",$C$6:C1343,"School"),"")</f>
        <v/>
      </c>
    </row>
    <row r="1344" spans="1:8">
      <c r="A1344" s="13"/>
      <c r="B1344" s="1" t="s">
        <v>2656</v>
      </c>
      <c r="C1344" s="1" t="s">
        <v>24</v>
      </c>
      <c r="D1344" s="1" t="s">
        <v>2683</v>
      </c>
      <c r="E1344" s="1" t="s">
        <v>2684</v>
      </c>
      <c r="F1344" s="2">
        <v>321</v>
      </c>
      <c r="G1344" s="3">
        <v>39.9</v>
      </c>
      <c r="H1344" s="4" t="str">
        <f>IF(AND(A1344="Yes",C1344="School"),COUNTIFS($A$6:A1344,"Yes",$C$6:C1344,"School"),"")</f>
        <v/>
      </c>
    </row>
    <row r="1345" spans="1:8">
      <c r="A1345" s="13"/>
      <c r="B1345" s="1" t="s">
        <v>2656</v>
      </c>
      <c r="C1345" s="1" t="s">
        <v>24</v>
      </c>
      <c r="D1345" s="1" t="s">
        <v>2685</v>
      </c>
      <c r="E1345" s="1" t="s">
        <v>2686</v>
      </c>
      <c r="F1345" s="2">
        <v>753</v>
      </c>
      <c r="G1345" s="3">
        <v>45.2</v>
      </c>
      <c r="H1345" s="4" t="str">
        <f>IF(AND(A1345="Yes",C1345="School"),COUNTIFS($A$6:A1345,"Yes",$C$6:C1345,"School"),"")</f>
        <v/>
      </c>
    </row>
    <row r="1346" spans="1:8">
      <c r="A1346" s="13"/>
      <c r="B1346" s="1" t="s">
        <v>2656</v>
      </c>
      <c r="C1346" s="1" t="s">
        <v>24</v>
      </c>
      <c r="D1346" s="1" t="s">
        <v>2687</v>
      </c>
      <c r="E1346" s="1" t="s">
        <v>2688</v>
      </c>
      <c r="F1346" s="2">
        <v>508</v>
      </c>
      <c r="G1346" s="3">
        <v>49.2</v>
      </c>
      <c r="H1346" s="4" t="str">
        <f>IF(AND(A1346="Yes",C1346="School"),COUNTIFS($A$6:A1346,"Yes",$C$6:C1346,"School"),"")</f>
        <v/>
      </c>
    </row>
    <row r="1347" spans="1:8">
      <c r="A1347" s="13"/>
      <c r="B1347" s="1" t="s">
        <v>2656</v>
      </c>
      <c r="C1347" s="1" t="s">
        <v>24</v>
      </c>
      <c r="D1347" s="1" t="s">
        <v>1897</v>
      </c>
      <c r="E1347" s="1" t="s">
        <v>2689</v>
      </c>
      <c r="F1347" s="2">
        <v>463</v>
      </c>
      <c r="G1347" s="3">
        <v>48.8</v>
      </c>
      <c r="H1347" s="4" t="str">
        <f>IF(AND(A1347="Yes",C1347="School"),COUNTIFS($A$6:A1347,"Yes",$C$6:C1347,"School"),"")</f>
        <v/>
      </c>
    </row>
    <row r="1348" spans="1:8">
      <c r="A1348" s="13"/>
      <c r="B1348" s="1" t="s">
        <v>2656</v>
      </c>
      <c r="C1348" s="1" t="s">
        <v>24</v>
      </c>
      <c r="D1348" s="1" t="s">
        <v>2690</v>
      </c>
      <c r="E1348" s="1" t="s">
        <v>2691</v>
      </c>
      <c r="F1348" s="2">
        <v>591</v>
      </c>
      <c r="G1348" s="3">
        <v>39.299999999999997</v>
      </c>
      <c r="H1348" s="4" t="str">
        <f>IF(AND(A1348="Yes",C1348="School"),COUNTIFS($A$6:A1348,"Yes",$C$6:C1348,"School"),"")</f>
        <v/>
      </c>
    </row>
    <row r="1349" spans="1:8">
      <c r="A1349" s="13"/>
      <c r="B1349" s="1" t="s">
        <v>2656</v>
      </c>
      <c r="C1349" s="1" t="s">
        <v>24</v>
      </c>
      <c r="D1349" s="1" t="s">
        <v>2692</v>
      </c>
      <c r="E1349" s="1" t="s">
        <v>2693</v>
      </c>
      <c r="F1349" s="2">
        <v>947</v>
      </c>
      <c r="G1349" s="3">
        <v>61.1</v>
      </c>
      <c r="H1349" s="4" t="str">
        <f>IF(AND(A1349="Yes",C1349="School"),COUNTIFS($A$6:A1349,"Yes",$C$6:C1349,"School"),"")</f>
        <v/>
      </c>
    </row>
    <row r="1350" spans="1:8">
      <c r="A1350" s="13"/>
      <c r="B1350" s="1" t="s">
        <v>2656</v>
      </c>
      <c r="C1350" s="1" t="s">
        <v>24</v>
      </c>
      <c r="D1350" s="1" t="s">
        <v>2694</v>
      </c>
      <c r="E1350" s="1" t="s">
        <v>2695</v>
      </c>
      <c r="F1350" s="2">
        <v>843</v>
      </c>
      <c r="G1350" s="3">
        <v>39.9</v>
      </c>
      <c r="H1350" s="4" t="str">
        <f>IF(AND(A1350="Yes",C1350="School"),COUNTIFS($A$6:A1350,"Yes",$C$6:C1350,"School"),"")</f>
        <v/>
      </c>
    </row>
    <row r="1351" spans="1:8">
      <c r="A1351" s="13"/>
      <c r="B1351" s="1" t="s">
        <v>2656</v>
      </c>
      <c r="C1351" s="1" t="s">
        <v>24</v>
      </c>
      <c r="D1351" s="1" t="s">
        <v>2696</v>
      </c>
      <c r="E1351" s="1" t="s">
        <v>2697</v>
      </c>
      <c r="F1351" s="2">
        <v>437</v>
      </c>
      <c r="G1351" s="3">
        <v>56.3</v>
      </c>
      <c r="H1351" s="4" t="str">
        <f>IF(AND(A1351="Yes",C1351="School"),COUNTIFS($A$6:A1351,"Yes",$C$6:C1351,"School"),"")</f>
        <v/>
      </c>
    </row>
    <row r="1352" spans="1:8">
      <c r="A1352" s="13"/>
      <c r="B1352" s="1" t="s">
        <v>2656</v>
      </c>
      <c r="C1352" s="1" t="s">
        <v>24</v>
      </c>
      <c r="D1352" s="1" t="s">
        <v>2698</v>
      </c>
      <c r="E1352" s="1" t="s">
        <v>2699</v>
      </c>
      <c r="F1352" s="2">
        <v>371</v>
      </c>
      <c r="G1352" s="3">
        <v>57.4</v>
      </c>
      <c r="H1352" s="4" t="str">
        <f>IF(AND(A1352="Yes",C1352="School"),COUNTIFS($A$6:A1352,"Yes",$C$6:C1352,"School"),"")</f>
        <v/>
      </c>
    </row>
    <row r="1353" spans="1:8">
      <c r="A1353" s="13"/>
      <c r="B1353" s="1" t="s">
        <v>2656</v>
      </c>
      <c r="C1353" s="1" t="s">
        <v>24</v>
      </c>
      <c r="D1353" s="1" t="s">
        <v>2700</v>
      </c>
      <c r="E1353" s="1" t="s">
        <v>2701</v>
      </c>
      <c r="F1353" s="2">
        <v>979</v>
      </c>
      <c r="G1353" s="3">
        <v>33.700000000000003</v>
      </c>
      <c r="H1353" s="4" t="str">
        <f>IF(AND(A1353="Yes",C1353="School"),COUNTIFS($A$6:A1353,"Yes",$C$6:C1353,"School"),"")</f>
        <v/>
      </c>
    </row>
    <row r="1354" spans="1:8">
      <c r="A1354" s="13"/>
      <c r="B1354" s="1" t="s">
        <v>2702</v>
      </c>
      <c r="C1354" s="1" t="s">
        <v>40</v>
      </c>
      <c r="D1354" s="1" t="s">
        <v>41</v>
      </c>
      <c r="E1354" s="1" t="s">
        <v>2703</v>
      </c>
      <c r="F1354" s="2">
        <v>2228</v>
      </c>
      <c r="G1354" s="3">
        <v>71.900000000000006</v>
      </c>
      <c r="H1354" s="4" t="str">
        <f>IF(AND(A1354="Yes",C1354="School"),COUNTIFS($A$6:A1354,"Yes",$C$6:C1354,"School"),"")</f>
        <v/>
      </c>
    </row>
    <row r="1355" spans="1:8">
      <c r="A1355" s="13"/>
      <c r="B1355" s="1" t="s">
        <v>2702</v>
      </c>
      <c r="C1355" s="1" t="s">
        <v>24</v>
      </c>
      <c r="D1355" s="1" t="s">
        <v>2704</v>
      </c>
      <c r="E1355" s="1" t="s">
        <v>2705</v>
      </c>
      <c r="F1355" s="2">
        <v>218</v>
      </c>
      <c r="G1355" s="3">
        <v>73.900000000000006</v>
      </c>
      <c r="H1355" s="4" t="str">
        <f>IF(AND(A1355="Yes",C1355="School"),COUNTIFS($A$6:A1355,"Yes",$C$6:C1355,"School"),"")</f>
        <v/>
      </c>
    </row>
    <row r="1356" spans="1:8">
      <c r="A1356" s="13"/>
      <c r="B1356" s="1" t="s">
        <v>2702</v>
      </c>
      <c r="C1356" s="1" t="s">
        <v>24</v>
      </c>
      <c r="D1356" s="1" t="s">
        <v>2706</v>
      </c>
      <c r="E1356" s="1" t="s">
        <v>2707</v>
      </c>
      <c r="F1356" s="2">
        <v>517</v>
      </c>
      <c r="G1356" s="3">
        <v>78.5</v>
      </c>
      <c r="H1356" s="4" t="str">
        <f>IF(AND(A1356="Yes",C1356="School"),COUNTIFS($A$6:A1356,"Yes",$C$6:C1356,"School"),"")</f>
        <v/>
      </c>
    </row>
    <row r="1357" spans="1:8">
      <c r="A1357" s="13"/>
      <c r="B1357" s="1" t="s">
        <v>2702</v>
      </c>
      <c r="C1357" s="1" t="s">
        <v>24</v>
      </c>
      <c r="D1357" s="1" t="s">
        <v>2708</v>
      </c>
      <c r="E1357" s="1" t="s">
        <v>2709</v>
      </c>
      <c r="F1357" s="2">
        <v>107</v>
      </c>
      <c r="G1357" s="3">
        <v>57</v>
      </c>
      <c r="H1357" s="4" t="str">
        <f>IF(AND(A1357="Yes",C1357="School"),COUNTIFS($A$6:A1357,"Yes",$C$6:C1357,"School"),"")</f>
        <v/>
      </c>
    </row>
    <row r="1358" spans="1:8">
      <c r="A1358" s="13"/>
      <c r="B1358" s="1" t="s">
        <v>2702</v>
      </c>
      <c r="C1358" s="1" t="s">
        <v>24</v>
      </c>
      <c r="D1358" s="1" t="s">
        <v>2710</v>
      </c>
      <c r="E1358" s="1" t="s">
        <v>2711</v>
      </c>
      <c r="F1358" s="2">
        <v>203</v>
      </c>
      <c r="G1358" s="3">
        <v>45.8</v>
      </c>
      <c r="H1358" s="4" t="str">
        <f>IF(AND(A1358="Yes",C1358="School"),COUNTIFS($A$6:A1358,"Yes",$C$6:C1358,"School"),"")</f>
        <v/>
      </c>
    </row>
    <row r="1359" spans="1:8">
      <c r="A1359" s="13"/>
      <c r="B1359" s="1" t="s">
        <v>2702</v>
      </c>
      <c r="C1359" s="1" t="s">
        <v>24</v>
      </c>
      <c r="D1359" s="1" t="s">
        <v>2712</v>
      </c>
      <c r="E1359" s="1" t="s">
        <v>2713</v>
      </c>
      <c r="F1359" s="2">
        <v>378</v>
      </c>
      <c r="G1359" s="3">
        <v>77</v>
      </c>
      <c r="H1359" s="4" t="str">
        <f>IF(AND(A1359="Yes",C1359="School"),COUNTIFS($A$6:A1359,"Yes",$C$6:C1359,"School"),"")</f>
        <v/>
      </c>
    </row>
    <row r="1360" spans="1:8">
      <c r="A1360" s="13"/>
      <c r="B1360" s="1" t="s">
        <v>2702</v>
      </c>
      <c r="C1360" s="1" t="s">
        <v>24</v>
      </c>
      <c r="D1360" s="1" t="s">
        <v>2714</v>
      </c>
      <c r="E1360" s="1" t="s">
        <v>2715</v>
      </c>
      <c r="F1360" s="2">
        <v>434</v>
      </c>
      <c r="G1360" s="3">
        <v>71.900000000000006</v>
      </c>
      <c r="H1360" s="4" t="str">
        <f>IF(AND(A1360="Yes",C1360="School"),COUNTIFS($A$6:A1360,"Yes",$C$6:C1360,"School"),"")</f>
        <v/>
      </c>
    </row>
    <row r="1361" spans="1:8">
      <c r="A1361" s="13"/>
      <c r="B1361" s="1" t="s">
        <v>2702</v>
      </c>
      <c r="C1361" s="1" t="s">
        <v>24</v>
      </c>
      <c r="D1361" s="1" t="s">
        <v>2716</v>
      </c>
      <c r="E1361" s="1" t="s">
        <v>2717</v>
      </c>
      <c r="F1361" s="2">
        <v>371</v>
      </c>
      <c r="G1361" s="3">
        <v>74.7</v>
      </c>
      <c r="H1361" s="4" t="str">
        <f>IF(AND(A1361="Yes",C1361="School"),COUNTIFS($A$6:A1361,"Yes",$C$6:C1361,"School"),"")</f>
        <v/>
      </c>
    </row>
    <row r="1362" spans="1:8">
      <c r="A1362" s="13"/>
      <c r="B1362" s="1" t="s">
        <v>2718</v>
      </c>
      <c r="C1362" s="1" t="s">
        <v>40</v>
      </c>
      <c r="D1362" s="1" t="s">
        <v>41</v>
      </c>
      <c r="E1362" s="1" t="s">
        <v>2719</v>
      </c>
      <c r="F1362" s="2">
        <v>3666</v>
      </c>
      <c r="G1362" s="3">
        <v>57.3</v>
      </c>
      <c r="H1362" s="4" t="str">
        <f>IF(AND(A1362="Yes",C1362="School"),COUNTIFS($A$6:A1362,"Yes",$C$6:C1362,"School"),"")</f>
        <v/>
      </c>
    </row>
    <row r="1363" spans="1:8">
      <c r="A1363" s="13"/>
      <c r="B1363" s="1" t="s">
        <v>2718</v>
      </c>
      <c r="C1363" s="1" t="s">
        <v>24</v>
      </c>
      <c r="D1363" s="1" t="s">
        <v>2720</v>
      </c>
      <c r="E1363" s="1" t="s">
        <v>2721</v>
      </c>
      <c r="F1363" s="2">
        <v>389</v>
      </c>
      <c r="G1363" s="3">
        <v>61.7</v>
      </c>
      <c r="H1363" s="4" t="str">
        <f>IF(AND(A1363="Yes",C1363="School"),COUNTIFS($A$6:A1363,"Yes",$C$6:C1363,"School"),"")</f>
        <v/>
      </c>
    </row>
    <row r="1364" spans="1:8">
      <c r="A1364" s="13"/>
      <c r="B1364" s="1" t="s">
        <v>2718</v>
      </c>
      <c r="C1364" s="1" t="s">
        <v>24</v>
      </c>
      <c r="D1364" s="1" t="s">
        <v>2722</v>
      </c>
      <c r="E1364" s="1" t="s">
        <v>2723</v>
      </c>
      <c r="F1364" s="2">
        <v>179</v>
      </c>
      <c r="G1364" s="3">
        <v>43</v>
      </c>
      <c r="H1364" s="4" t="str">
        <f>IF(AND(A1364="Yes",C1364="School"),COUNTIFS($A$6:A1364,"Yes",$C$6:C1364,"School"),"")</f>
        <v/>
      </c>
    </row>
    <row r="1365" spans="1:8">
      <c r="A1365" s="13"/>
      <c r="B1365" s="1" t="s">
        <v>2718</v>
      </c>
      <c r="C1365" s="1" t="s">
        <v>24</v>
      </c>
      <c r="D1365" s="1" t="s">
        <v>2724</v>
      </c>
      <c r="E1365" s="1" t="s">
        <v>2725</v>
      </c>
      <c r="F1365" s="2">
        <v>977</v>
      </c>
      <c r="G1365" s="3">
        <v>51.3</v>
      </c>
      <c r="H1365" s="4" t="str">
        <f>IF(AND(A1365="Yes",C1365="School"),COUNTIFS($A$6:A1365,"Yes",$C$6:C1365,"School"),"")</f>
        <v/>
      </c>
    </row>
    <row r="1366" spans="1:8">
      <c r="A1366" s="13"/>
      <c r="B1366" s="1" t="s">
        <v>2718</v>
      </c>
      <c r="C1366" s="1" t="s">
        <v>24</v>
      </c>
      <c r="D1366" s="1" t="s">
        <v>2726</v>
      </c>
      <c r="E1366" s="1" t="s">
        <v>2727</v>
      </c>
      <c r="F1366" s="2">
        <v>265</v>
      </c>
      <c r="G1366" s="3">
        <v>70.900000000000006</v>
      </c>
      <c r="H1366" s="4" t="str">
        <f>IF(AND(A1366="Yes",C1366="School"),COUNTIFS($A$6:A1366,"Yes",$C$6:C1366,"School"),"")</f>
        <v/>
      </c>
    </row>
    <row r="1367" spans="1:8">
      <c r="A1367" s="13"/>
      <c r="B1367" s="1" t="s">
        <v>2718</v>
      </c>
      <c r="C1367" s="1" t="s">
        <v>24</v>
      </c>
      <c r="D1367" s="1" t="s">
        <v>2728</v>
      </c>
      <c r="E1367" s="1" t="s">
        <v>2729</v>
      </c>
      <c r="F1367" s="2">
        <v>466</v>
      </c>
      <c r="G1367" s="3">
        <v>51.9</v>
      </c>
      <c r="H1367" s="4" t="str">
        <f>IF(AND(A1367="Yes",C1367="School"),COUNTIFS($A$6:A1367,"Yes",$C$6:C1367,"School"),"")</f>
        <v/>
      </c>
    </row>
    <row r="1368" spans="1:8">
      <c r="A1368" s="13"/>
      <c r="B1368" s="1" t="s">
        <v>2718</v>
      </c>
      <c r="C1368" s="1" t="s">
        <v>24</v>
      </c>
      <c r="D1368" s="1" t="s">
        <v>747</v>
      </c>
      <c r="E1368" s="1" t="s">
        <v>2730</v>
      </c>
      <c r="F1368" s="2">
        <v>331</v>
      </c>
      <c r="G1368" s="3">
        <v>50.8</v>
      </c>
      <c r="H1368" s="4" t="str">
        <f>IF(AND(A1368="Yes",C1368="School"),COUNTIFS($A$6:A1368,"Yes",$C$6:C1368,"School"),"")</f>
        <v/>
      </c>
    </row>
    <row r="1369" spans="1:8">
      <c r="A1369" s="13"/>
      <c r="B1369" s="1" t="s">
        <v>2718</v>
      </c>
      <c r="C1369" s="1" t="s">
        <v>24</v>
      </c>
      <c r="D1369" s="1" t="s">
        <v>2731</v>
      </c>
      <c r="E1369" s="1" t="s">
        <v>2732</v>
      </c>
      <c r="F1369" s="2">
        <v>293</v>
      </c>
      <c r="G1369" s="3">
        <v>74.099999999999994</v>
      </c>
      <c r="H1369" s="4" t="str">
        <f>IF(AND(A1369="Yes",C1369="School"),COUNTIFS($A$6:A1369,"Yes",$C$6:C1369,"School"),"")</f>
        <v/>
      </c>
    </row>
    <row r="1370" spans="1:8">
      <c r="A1370" s="13"/>
      <c r="B1370" s="1" t="s">
        <v>2718</v>
      </c>
      <c r="C1370" s="1" t="s">
        <v>24</v>
      </c>
      <c r="D1370" s="1" t="s">
        <v>2733</v>
      </c>
      <c r="E1370" s="1" t="s">
        <v>2734</v>
      </c>
      <c r="F1370" s="2">
        <v>483</v>
      </c>
      <c r="G1370" s="3">
        <v>65.8</v>
      </c>
      <c r="H1370" s="4" t="str">
        <f>IF(AND(A1370="Yes",C1370="School"),COUNTIFS($A$6:A1370,"Yes",$C$6:C1370,"School"),"")</f>
        <v/>
      </c>
    </row>
    <row r="1371" spans="1:8">
      <c r="A1371" s="13"/>
      <c r="B1371" s="1" t="s">
        <v>2718</v>
      </c>
      <c r="C1371" s="1" t="s">
        <v>24</v>
      </c>
      <c r="D1371" s="1" t="s">
        <v>2735</v>
      </c>
      <c r="E1371" s="1" t="s">
        <v>2736</v>
      </c>
      <c r="F1371" s="2">
        <v>283</v>
      </c>
      <c r="G1371" s="3">
        <v>53.4</v>
      </c>
      <c r="H1371" s="4" t="str">
        <f>IF(AND(A1371="Yes",C1371="School"),COUNTIFS($A$6:A1371,"Yes",$C$6:C1371,"School"),"")</f>
        <v/>
      </c>
    </row>
    <row r="1372" spans="1:8">
      <c r="A1372" s="13"/>
      <c r="B1372" s="1" t="s">
        <v>2737</v>
      </c>
      <c r="C1372" s="1" t="s">
        <v>24</v>
      </c>
      <c r="D1372" s="1" t="s">
        <v>2737</v>
      </c>
      <c r="E1372" s="1" t="s">
        <v>2738</v>
      </c>
      <c r="F1372" s="2">
        <v>639</v>
      </c>
      <c r="G1372" s="3">
        <v>41.5</v>
      </c>
      <c r="H1372" s="4" t="str">
        <f>IF(AND(A1372="Yes",C1372="School"),COUNTIFS($A$6:A1372,"Yes",$C$6:C1372,"School"),"")</f>
        <v/>
      </c>
    </row>
    <row r="1373" spans="1:8">
      <c r="A1373" s="13"/>
      <c r="B1373" s="1" t="s">
        <v>2739</v>
      </c>
      <c r="C1373" s="1" t="s">
        <v>40</v>
      </c>
      <c r="D1373" s="1" t="s">
        <v>41</v>
      </c>
      <c r="E1373" s="1" t="s">
        <v>2740</v>
      </c>
      <c r="F1373" s="2">
        <v>8581</v>
      </c>
      <c r="G1373" s="3">
        <v>53.4</v>
      </c>
      <c r="H1373" s="4" t="str">
        <f>IF(AND(A1373="Yes",C1373="School"),COUNTIFS($A$6:A1373,"Yes",$C$6:C1373,"School"),"")</f>
        <v/>
      </c>
    </row>
    <row r="1374" spans="1:8">
      <c r="A1374" s="13"/>
      <c r="B1374" s="1" t="s">
        <v>2739</v>
      </c>
      <c r="C1374" s="1" t="s">
        <v>24</v>
      </c>
      <c r="D1374" s="1" t="s">
        <v>2741</v>
      </c>
      <c r="E1374" s="1" t="s">
        <v>2742</v>
      </c>
      <c r="F1374" s="2">
        <v>614</v>
      </c>
      <c r="G1374" s="3">
        <v>50.7</v>
      </c>
      <c r="H1374" s="4" t="str">
        <f>IF(AND(A1374="Yes",C1374="School"),COUNTIFS($A$6:A1374,"Yes",$C$6:C1374,"School"),"")</f>
        <v/>
      </c>
    </row>
    <row r="1375" spans="1:8">
      <c r="A1375" s="13"/>
      <c r="B1375" s="1" t="s">
        <v>2739</v>
      </c>
      <c r="C1375" s="1" t="s">
        <v>24</v>
      </c>
      <c r="D1375" s="1" t="s">
        <v>2743</v>
      </c>
      <c r="E1375" s="1" t="s">
        <v>2744</v>
      </c>
      <c r="F1375" s="2">
        <v>720</v>
      </c>
      <c r="G1375" s="3">
        <v>48.5</v>
      </c>
      <c r="H1375" s="4" t="str">
        <f>IF(AND(A1375="Yes",C1375="School"),COUNTIFS($A$6:A1375,"Yes",$C$6:C1375,"School"),"")</f>
        <v/>
      </c>
    </row>
    <row r="1376" spans="1:8">
      <c r="A1376" s="13"/>
      <c r="B1376" s="1" t="s">
        <v>2739</v>
      </c>
      <c r="C1376" s="1" t="s">
        <v>24</v>
      </c>
      <c r="D1376" s="1" t="s">
        <v>2745</v>
      </c>
      <c r="E1376" s="1" t="s">
        <v>2746</v>
      </c>
      <c r="F1376" s="2">
        <v>299</v>
      </c>
      <c r="G1376" s="3">
        <v>78.599999999999994</v>
      </c>
      <c r="H1376" s="4" t="str">
        <f>IF(AND(A1376="Yes",C1376="School"),COUNTIFS($A$6:A1376,"Yes",$C$6:C1376,"School"),"")</f>
        <v/>
      </c>
    </row>
    <row r="1377" spans="1:8">
      <c r="A1377" s="13"/>
      <c r="B1377" s="1" t="s">
        <v>2739</v>
      </c>
      <c r="C1377" s="1" t="s">
        <v>24</v>
      </c>
      <c r="D1377" s="1" t="s">
        <v>2747</v>
      </c>
      <c r="E1377" s="1" t="s">
        <v>2748</v>
      </c>
      <c r="F1377" s="2">
        <v>2015</v>
      </c>
      <c r="G1377" s="3">
        <v>53.2</v>
      </c>
      <c r="H1377" s="4" t="str">
        <f>IF(AND(A1377="Yes",C1377="School"),COUNTIFS($A$6:A1377,"Yes",$C$6:C1377,"School"),"")</f>
        <v/>
      </c>
    </row>
    <row r="1378" spans="1:8">
      <c r="A1378" s="13"/>
      <c r="B1378" s="1" t="s">
        <v>2739</v>
      </c>
      <c r="C1378" s="1" t="s">
        <v>24</v>
      </c>
      <c r="D1378" s="1" t="s">
        <v>2749</v>
      </c>
      <c r="E1378" s="1" t="s">
        <v>2750</v>
      </c>
      <c r="F1378" s="2">
        <v>288</v>
      </c>
      <c r="G1378" s="3">
        <v>71.5</v>
      </c>
      <c r="H1378" s="4" t="str">
        <f>IF(AND(A1378="Yes",C1378="School"),COUNTIFS($A$6:A1378,"Yes",$C$6:C1378,"School"),"")</f>
        <v/>
      </c>
    </row>
    <row r="1379" spans="1:8">
      <c r="A1379" s="13"/>
      <c r="B1379" s="1" t="s">
        <v>2739</v>
      </c>
      <c r="C1379" s="1" t="s">
        <v>24</v>
      </c>
      <c r="D1379" s="1" t="s">
        <v>2751</v>
      </c>
      <c r="E1379" s="1" t="s">
        <v>2752</v>
      </c>
      <c r="F1379" s="2">
        <v>47</v>
      </c>
      <c r="G1379" s="3">
        <v>76.599999999999994</v>
      </c>
      <c r="H1379" s="4" t="str">
        <f>IF(AND(A1379="Yes",C1379="School"),COUNTIFS($A$6:A1379,"Yes",$C$6:C1379,"School"),"")</f>
        <v/>
      </c>
    </row>
    <row r="1380" spans="1:8">
      <c r="A1380" s="13"/>
      <c r="B1380" s="1" t="s">
        <v>2739</v>
      </c>
      <c r="C1380" s="1" t="s">
        <v>24</v>
      </c>
      <c r="D1380" s="1" t="s">
        <v>2753</v>
      </c>
      <c r="E1380" s="1" t="s">
        <v>2754</v>
      </c>
      <c r="F1380" s="2">
        <v>573</v>
      </c>
      <c r="G1380" s="3">
        <v>35.1</v>
      </c>
      <c r="H1380" s="4" t="str">
        <f>IF(AND(A1380="Yes",C1380="School"),COUNTIFS($A$6:A1380,"Yes",$C$6:C1380,"School"),"")</f>
        <v/>
      </c>
    </row>
    <row r="1381" spans="1:8">
      <c r="A1381" s="13"/>
      <c r="B1381" s="1" t="s">
        <v>2739</v>
      </c>
      <c r="C1381" s="1" t="s">
        <v>24</v>
      </c>
      <c r="D1381" s="1" t="s">
        <v>2755</v>
      </c>
      <c r="E1381" s="1" t="s">
        <v>2756</v>
      </c>
      <c r="F1381" s="2">
        <v>395</v>
      </c>
      <c r="G1381" s="3">
        <v>34.700000000000003</v>
      </c>
      <c r="H1381" s="4" t="str">
        <f>IF(AND(A1381="Yes",C1381="School"),COUNTIFS($A$6:A1381,"Yes",$C$6:C1381,"School"),"")</f>
        <v/>
      </c>
    </row>
    <row r="1382" spans="1:8">
      <c r="A1382" s="13"/>
      <c r="B1382" s="1" t="s">
        <v>2739</v>
      </c>
      <c r="C1382" s="1" t="s">
        <v>24</v>
      </c>
      <c r="D1382" s="1" t="s">
        <v>2757</v>
      </c>
      <c r="E1382" s="1" t="s">
        <v>2758</v>
      </c>
      <c r="F1382" s="2">
        <v>565</v>
      </c>
      <c r="G1382" s="3">
        <v>58.8</v>
      </c>
      <c r="H1382" s="4" t="str">
        <f>IF(AND(A1382="Yes",C1382="School"),COUNTIFS($A$6:A1382,"Yes",$C$6:C1382,"School"),"")</f>
        <v/>
      </c>
    </row>
    <row r="1383" spans="1:8">
      <c r="A1383" s="13"/>
      <c r="B1383" s="1" t="s">
        <v>2739</v>
      </c>
      <c r="C1383" s="1" t="s">
        <v>24</v>
      </c>
      <c r="D1383" s="1" t="s">
        <v>2759</v>
      </c>
      <c r="E1383" s="1" t="s">
        <v>2760</v>
      </c>
      <c r="F1383" s="2">
        <v>585</v>
      </c>
      <c r="G1383" s="3">
        <v>49.2</v>
      </c>
      <c r="H1383" s="4" t="str">
        <f>IF(AND(A1383="Yes",C1383="School"),COUNTIFS($A$6:A1383,"Yes",$C$6:C1383,"School"),"")</f>
        <v/>
      </c>
    </row>
    <row r="1384" spans="1:8">
      <c r="A1384" s="13"/>
      <c r="B1384" s="1" t="s">
        <v>2739</v>
      </c>
      <c r="C1384" s="1" t="s">
        <v>24</v>
      </c>
      <c r="D1384" s="1" t="s">
        <v>2761</v>
      </c>
      <c r="E1384" s="1" t="s">
        <v>2762</v>
      </c>
      <c r="F1384" s="2">
        <v>696</v>
      </c>
      <c r="G1384" s="3">
        <v>53.2</v>
      </c>
      <c r="H1384" s="4" t="str">
        <f>IF(AND(A1384="Yes",C1384="School"),COUNTIFS($A$6:A1384,"Yes",$C$6:C1384,"School"),"")</f>
        <v/>
      </c>
    </row>
    <row r="1385" spans="1:8">
      <c r="A1385" s="13"/>
      <c r="B1385" s="1" t="s">
        <v>2739</v>
      </c>
      <c r="C1385" s="1" t="s">
        <v>24</v>
      </c>
      <c r="D1385" s="1" t="s">
        <v>2763</v>
      </c>
      <c r="E1385" s="1" t="s">
        <v>2764</v>
      </c>
      <c r="F1385" s="2">
        <v>622</v>
      </c>
      <c r="G1385" s="3">
        <v>54.7</v>
      </c>
      <c r="H1385" s="4" t="str">
        <f>IF(AND(A1385="Yes",C1385="School"),COUNTIFS($A$6:A1385,"Yes",$C$6:C1385,"School"),"")</f>
        <v/>
      </c>
    </row>
    <row r="1386" spans="1:8">
      <c r="A1386" s="13"/>
      <c r="B1386" s="1" t="s">
        <v>2739</v>
      </c>
      <c r="C1386" s="1" t="s">
        <v>24</v>
      </c>
      <c r="D1386" s="1" t="s">
        <v>2765</v>
      </c>
      <c r="E1386" s="1" t="s">
        <v>2766</v>
      </c>
      <c r="F1386" s="2">
        <v>486</v>
      </c>
      <c r="G1386" s="3">
        <v>56</v>
      </c>
      <c r="H1386" s="4" t="str">
        <f>IF(AND(A1386="Yes",C1386="School"),COUNTIFS($A$6:A1386,"Yes",$C$6:C1386,"School"),"")</f>
        <v/>
      </c>
    </row>
    <row r="1387" spans="1:8">
      <c r="A1387" s="13"/>
      <c r="B1387" s="1" t="s">
        <v>2739</v>
      </c>
      <c r="C1387" s="1" t="s">
        <v>24</v>
      </c>
      <c r="D1387" s="1" t="s">
        <v>2767</v>
      </c>
      <c r="E1387" s="1" t="s">
        <v>2768</v>
      </c>
      <c r="F1387" s="2">
        <v>676</v>
      </c>
      <c r="G1387" s="3">
        <v>64.5</v>
      </c>
      <c r="H1387" s="4" t="str">
        <f>IF(AND(A1387="Yes",C1387="School"),COUNTIFS($A$6:A1387,"Yes",$C$6:C1387,"School"),"")</f>
        <v/>
      </c>
    </row>
    <row r="1388" spans="1:8">
      <c r="A1388" s="13"/>
      <c r="B1388" s="1" t="s">
        <v>2769</v>
      </c>
      <c r="C1388" s="1" t="s">
        <v>24</v>
      </c>
      <c r="D1388" s="1" t="s">
        <v>2769</v>
      </c>
      <c r="E1388" s="1" t="s">
        <v>2770</v>
      </c>
      <c r="F1388" s="2">
        <v>89</v>
      </c>
      <c r="G1388" s="3">
        <v>34.799999999999997</v>
      </c>
      <c r="H1388" s="4" t="str">
        <f>IF(AND(A1388="Yes",C1388="School"),COUNTIFS($A$6:A1388,"Yes",$C$6:C1388,"School"),"")</f>
        <v/>
      </c>
    </row>
    <row r="1389" spans="1:8">
      <c r="A1389" s="13"/>
      <c r="B1389" s="1" t="s">
        <v>2771</v>
      </c>
      <c r="C1389" s="1" t="s">
        <v>40</v>
      </c>
      <c r="D1389" s="1" t="s">
        <v>41</v>
      </c>
      <c r="E1389" s="1" t="s">
        <v>2772</v>
      </c>
      <c r="F1389" s="2">
        <v>454</v>
      </c>
      <c r="G1389" s="3">
        <v>54</v>
      </c>
      <c r="H1389" s="4" t="str">
        <f>IF(AND(A1389="Yes",C1389="School"),COUNTIFS($A$6:A1389,"Yes",$C$6:C1389,"School"),"")</f>
        <v/>
      </c>
    </row>
    <row r="1390" spans="1:8">
      <c r="A1390" s="13"/>
      <c r="B1390" s="1" t="s">
        <v>2771</v>
      </c>
      <c r="C1390" s="1" t="s">
        <v>24</v>
      </c>
      <c r="D1390" s="1" t="s">
        <v>2773</v>
      </c>
      <c r="E1390" s="1" t="s">
        <v>2774</v>
      </c>
      <c r="F1390" s="2">
        <v>45</v>
      </c>
      <c r="G1390" s="3">
        <v>53.3</v>
      </c>
      <c r="H1390" s="4" t="str">
        <f>IF(AND(A1390="Yes",C1390="School"),COUNTIFS($A$6:A1390,"Yes",$C$6:C1390,"School"),"")</f>
        <v/>
      </c>
    </row>
    <row r="1391" spans="1:8">
      <c r="A1391" s="13"/>
      <c r="B1391" s="1" t="s">
        <v>2771</v>
      </c>
      <c r="C1391" s="1" t="s">
        <v>24</v>
      </c>
      <c r="D1391" s="1" t="s">
        <v>2775</v>
      </c>
      <c r="E1391" s="1" t="s">
        <v>2776</v>
      </c>
      <c r="F1391" s="2">
        <v>267</v>
      </c>
      <c r="G1391" s="3">
        <v>62.2</v>
      </c>
      <c r="H1391" s="4" t="str">
        <f>IF(AND(A1391="Yes",C1391="School"),COUNTIFS($A$6:A1391,"Yes",$C$6:C1391,"School"),"")</f>
        <v/>
      </c>
    </row>
    <row r="1392" spans="1:8">
      <c r="A1392" s="13"/>
      <c r="B1392" s="1" t="s">
        <v>2771</v>
      </c>
      <c r="C1392" s="1" t="s">
        <v>24</v>
      </c>
      <c r="D1392" s="1" t="s">
        <v>2777</v>
      </c>
      <c r="E1392" s="1" t="s">
        <v>2778</v>
      </c>
      <c r="F1392" s="2">
        <v>142</v>
      </c>
      <c r="G1392" s="3">
        <v>38.700000000000003</v>
      </c>
      <c r="H1392" s="4" t="str">
        <f>IF(AND(A1392="Yes",C1392="School"),COUNTIFS($A$6:A1392,"Yes",$C$6:C1392,"School"),"")</f>
        <v/>
      </c>
    </row>
    <row r="1393" spans="1:8">
      <c r="A1393" s="13"/>
      <c r="B1393" s="1" t="s">
        <v>2779</v>
      </c>
      <c r="C1393" s="1" t="s">
        <v>24</v>
      </c>
      <c r="D1393" s="1" t="s">
        <v>2779</v>
      </c>
      <c r="E1393" s="1" t="s">
        <v>2780</v>
      </c>
      <c r="F1393" s="2">
        <v>1209</v>
      </c>
      <c r="G1393" s="3">
        <v>34.4</v>
      </c>
      <c r="H1393" s="4" t="str">
        <f>IF(AND(A1393="Yes",C1393="School"),COUNTIFS($A$6:A1393,"Yes",$C$6:C1393,"School"),"")</f>
        <v/>
      </c>
    </row>
    <row r="1394" spans="1:8">
      <c r="A1394" s="13"/>
      <c r="B1394" s="1" t="s">
        <v>2781</v>
      </c>
      <c r="C1394" s="1" t="s">
        <v>24</v>
      </c>
      <c r="D1394" s="1" t="s">
        <v>2781</v>
      </c>
      <c r="E1394" s="1" t="s">
        <v>2782</v>
      </c>
      <c r="F1394" s="2">
        <v>798</v>
      </c>
      <c r="G1394" s="3">
        <v>57.4</v>
      </c>
      <c r="H1394" s="4" t="str">
        <f>IF(AND(A1394="Yes",C1394="School"),COUNTIFS($A$6:A1394,"Yes",$C$6:C1394,"School"),"")</f>
        <v/>
      </c>
    </row>
    <row r="1395" spans="1:8">
      <c r="A1395" s="13"/>
      <c r="B1395" s="1" t="s">
        <v>2783</v>
      </c>
      <c r="C1395" s="1" t="s">
        <v>40</v>
      </c>
      <c r="D1395" s="1" t="s">
        <v>41</v>
      </c>
      <c r="E1395" s="1" t="s">
        <v>2784</v>
      </c>
      <c r="F1395" s="2">
        <v>20144</v>
      </c>
      <c r="G1395" s="3">
        <v>37</v>
      </c>
      <c r="H1395" s="4" t="str">
        <f>IF(AND(A1395="Yes",C1395="School"),COUNTIFS($A$6:A1395,"Yes",$C$6:C1395,"School"),"")</f>
        <v/>
      </c>
    </row>
    <row r="1396" spans="1:8">
      <c r="A1396" s="13"/>
      <c r="B1396" s="1" t="s">
        <v>2783</v>
      </c>
      <c r="C1396" s="1" t="s">
        <v>24</v>
      </c>
      <c r="D1396" s="1" t="s">
        <v>2785</v>
      </c>
      <c r="E1396" s="1" t="s">
        <v>2786</v>
      </c>
      <c r="F1396" s="2">
        <v>213</v>
      </c>
      <c r="G1396" s="3">
        <v>30.5</v>
      </c>
      <c r="H1396" s="4" t="str">
        <f>IF(AND(A1396="Yes",C1396="School"),COUNTIFS($A$6:A1396,"Yes",$C$6:C1396,"School"),"")</f>
        <v/>
      </c>
    </row>
    <row r="1397" spans="1:8">
      <c r="A1397" s="13"/>
      <c r="B1397" s="1" t="s">
        <v>2783</v>
      </c>
      <c r="C1397" s="1" t="s">
        <v>24</v>
      </c>
      <c r="D1397" s="1" t="s">
        <v>2787</v>
      </c>
      <c r="E1397" s="1" t="s">
        <v>2788</v>
      </c>
      <c r="F1397" s="2">
        <v>163</v>
      </c>
      <c r="G1397" s="3">
        <v>30.1</v>
      </c>
      <c r="H1397" s="4" t="str">
        <f>IF(AND(A1397="Yes",C1397="School"),COUNTIFS($A$6:A1397,"Yes",$C$6:C1397,"School"),"")</f>
        <v/>
      </c>
    </row>
    <row r="1398" spans="1:8">
      <c r="A1398" s="13"/>
      <c r="B1398" s="1" t="s">
        <v>2783</v>
      </c>
      <c r="C1398" s="1" t="s">
        <v>24</v>
      </c>
      <c r="D1398" s="1" t="s">
        <v>2789</v>
      </c>
      <c r="E1398" s="1" t="s">
        <v>2790</v>
      </c>
      <c r="F1398" s="2">
        <v>535</v>
      </c>
      <c r="G1398" s="3">
        <v>49</v>
      </c>
      <c r="H1398" s="4" t="str">
        <f>IF(AND(A1398="Yes",C1398="School"),COUNTIFS($A$6:A1398,"Yes",$C$6:C1398,"School"),"")</f>
        <v/>
      </c>
    </row>
    <row r="1399" spans="1:8">
      <c r="A1399" s="13"/>
      <c r="B1399" s="1" t="s">
        <v>2783</v>
      </c>
      <c r="C1399" s="1" t="s">
        <v>24</v>
      </c>
      <c r="D1399" s="1" t="s">
        <v>1670</v>
      </c>
      <c r="E1399" s="1" t="s">
        <v>2791</v>
      </c>
      <c r="F1399" s="2">
        <v>311</v>
      </c>
      <c r="G1399" s="3">
        <v>34.4</v>
      </c>
      <c r="H1399" s="4" t="str">
        <f>IF(AND(A1399="Yes",C1399="School"),COUNTIFS($A$6:A1399,"Yes",$C$6:C1399,"School"),"")</f>
        <v/>
      </c>
    </row>
    <row r="1400" spans="1:8">
      <c r="A1400" s="13"/>
      <c r="B1400" s="1" t="s">
        <v>2783</v>
      </c>
      <c r="C1400" s="1" t="s">
        <v>24</v>
      </c>
      <c r="D1400" s="1" t="s">
        <v>2792</v>
      </c>
      <c r="E1400" s="1" t="s">
        <v>2793</v>
      </c>
      <c r="F1400" s="2">
        <v>587</v>
      </c>
      <c r="G1400" s="3">
        <v>52.1</v>
      </c>
      <c r="H1400" s="4" t="str">
        <f>IF(AND(A1400="Yes",C1400="School"),COUNTIFS($A$6:A1400,"Yes",$C$6:C1400,"School"),"")</f>
        <v/>
      </c>
    </row>
    <row r="1401" spans="1:8">
      <c r="A1401" s="13"/>
      <c r="B1401" s="1" t="s">
        <v>2783</v>
      </c>
      <c r="C1401" s="1" t="s">
        <v>24</v>
      </c>
      <c r="D1401" s="1" t="s">
        <v>2794</v>
      </c>
      <c r="E1401" s="1" t="s">
        <v>2795</v>
      </c>
      <c r="F1401" s="2">
        <v>850</v>
      </c>
      <c r="G1401" s="3">
        <v>31.3</v>
      </c>
      <c r="H1401" s="4" t="str">
        <f>IF(AND(A1401="Yes",C1401="School"),COUNTIFS($A$6:A1401,"Yes",$C$6:C1401,"School"),"")</f>
        <v/>
      </c>
    </row>
    <row r="1402" spans="1:8">
      <c r="A1402" s="13"/>
      <c r="B1402" s="1" t="s">
        <v>2783</v>
      </c>
      <c r="C1402" s="1" t="s">
        <v>24</v>
      </c>
      <c r="D1402" s="1" t="s">
        <v>2796</v>
      </c>
      <c r="E1402" s="1" t="s">
        <v>2797</v>
      </c>
      <c r="F1402" s="2">
        <v>210</v>
      </c>
      <c r="G1402" s="3">
        <v>28.1</v>
      </c>
      <c r="H1402" s="4" t="str">
        <f>IF(AND(A1402="Yes",C1402="School"),COUNTIFS($A$6:A1402,"Yes",$C$6:C1402,"School"),"")</f>
        <v/>
      </c>
    </row>
    <row r="1403" spans="1:8">
      <c r="A1403" s="13"/>
      <c r="B1403" s="1" t="s">
        <v>2783</v>
      </c>
      <c r="C1403" s="1" t="s">
        <v>24</v>
      </c>
      <c r="D1403" s="1" t="s">
        <v>2798</v>
      </c>
      <c r="E1403" s="1" t="s">
        <v>2799</v>
      </c>
      <c r="F1403" s="2">
        <v>454</v>
      </c>
      <c r="G1403" s="3">
        <v>33.5</v>
      </c>
      <c r="H1403" s="4" t="str">
        <f>IF(AND(A1403="Yes",C1403="School"),COUNTIFS($A$6:A1403,"Yes",$C$6:C1403,"School"),"")</f>
        <v/>
      </c>
    </row>
    <row r="1404" spans="1:8">
      <c r="A1404" s="13"/>
      <c r="B1404" s="1" t="s">
        <v>2783</v>
      </c>
      <c r="C1404" s="1" t="s">
        <v>24</v>
      </c>
      <c r="D1404" s="1" t="s">
        <v>2800</v>
      </c>
      <c r="E1404" s="1" t="s">
        <v>2801</v>
      </c>
      <c r="F1404" s="2">
        <v>214</v>
      </c>
      <c r="G1404" s="3">
        <v>31.3</v>
      </c>
      <c r="H1404" s="4" t="str">
        <f>IF(AND(A1404="Yes",C1404="School"),COUNTIFS($A$6:A1404,"Yes",$C$6:C1404,"School"),"")</f>
        <v/>
      </c>
    </row>
    <row r="1405" spans="1:8">
      <c r="A1405" s="13"/>
      <c r="B1405" s="1" t="s">
        <v>2783</v>
      </c>
      <c r="C1405" s="1" t="s">
        <v>24</v>
      </c>
      <c r="D1405" s="1" t="s">
        <v>2802</v>
      </c>
      <c r="E1405" s="1" t="s">
        <v>2803</v>
      </c>
      <c r="F1405" s="2">
        <v>28</v>
      </c>
      <c r="G1405" s="3">
        <v>64.3</v>
      </c>
      <c r="H1405" s="4" t="str">
        <f>IF(AND(A1405="Yes",C1405="School"),COUNTIFS($A$6:A1405,"Yes",$C$6:C1405,"School"),"")</f>
        <v/>
      </c>
    </row>
    <row r="1406" spans="1:8">
      <c r="A1406" s="13"/>
      <c r="B1406" s="1" t="s">
        <v>2783</v>
      </c>
      <c r="C1406" s="1" t="s">
        <v>24</v>
      </c>
      <c r="D1406" s="1" t="s">
        <v>2804</v>
      </c>
      <c r="E1406" s="1" t="s">
        <v>2805</v>
      </c>
      <c r="F1406" s="2">
        <v>635</v>
      </c>
      <c r="G1406" s="3">
        <v>52.8</v>
      </c>
      <c r="H1406" s="4" t="str">
        <f>IF(AND(A1406="Yes",C1406="School"),COUNTIFS($A$6:A1406,"Yes",$C$6:C1406,"School"),"")</f>
        <v/>
      </c>
    </row>
    <row r="1407" spans="1:8">
      <c r="A1407" s="13"/>
      <c r="B1407" s="1" t="s">
        <v>2783</v>
      </c>
      <c r="C1407" s="1" t="s">
        <v>24</v>
      </c>
      <c r="D1407" s="1" t="s">
        <v>2806</v>
      </c>
      <c r="E1407" s="1" t="s">
        <v>2807</v>
      </c>
      <c r="F1407" s="2">
        <v>371</v>
      </c>
      <c r="G1407" s="3">
        <v>48</v>
      </c>
      <c r="H1407" s="4" t="str">
        <f>IF(AND(A1407="Yes",C1407="School"),COUNTIFS($A$6:A1407,"Yes",$C$6:C1407,"School"),"")</f>
        <v/>
      </c>
    </row>
    <row r="1408" spans="1:8">
      <c r="A1408" s="13"/>
      <c r="B1408" s="1" t="s">
        <v>2783</v>
      </c>
      <c r="C1408" s="1" t="s">
        <v>24</v>
      </c>
      <c r="D1408" s="1" t="s">
        <v>2808</v>
      </c>
      <c r="E1408" s="1" t="s">
        <v>2809</v>
      </c>
      <c r="F1408" s="2">
        <v>372</v>
      </c>
      <c r="G1408" s="3">
        <v>47.8</v>
      </c>
      <c r="H1408" s="4" t="str">
        <f>IF(AND(A1408="Yes",C1408="School"),COUNTIFS($A$6:A1408,"Yes",$C$6:C1408,"School"),"")</f>
        <v/>
      </c>
    </row>
    <row r="1409" spans="1:8">
      <c r="A1409" s="13"/>
      <c r="B1409" s="1" t="s">
        <v>2783</v>
      </c>
      <c r="C1409" s="1" t="s">
        <v>24</v>
      </c>
      <c r="D1409" s="1" t="s">
        <v>2810</v>
      </c>
      <c r="E1409" s="1" t="s">
        <v>2811</v>
      </c>
      <c r="F1409" s="2">
        <v>583</v>
      </c>
      <c r="G1409" s="3">
        <v>22</v>
      </c>
      <c r="H1409" s="4" t="str">
        <f>IF(AND(A1409="Yes",C1409="School"),COUNTIFS($A$6:A1409,"Yes",$C$6:C1409,"School"),"")</f>
        <v/>
      </c>
    </row>
    <row r="1410" spans="1:8">
      <c r="A1410" s="13"/>
      <c r="B1410" s="1" t="s">
        <v>2783</v>
      </c>
      <c r="C1410" s="1" t="s">
        <v>24</v>
      </c>
      <c r="D1410" s="1" t="s">
        <v>2812</v>
      </c>
      <c r="E1410" s="1" t="s">
        <v>2813</v>
      </c>
      <c r="F1410" s="2">
        <v>1736</v>
      </c>
      <c r="G1410" s="3">
        <v>20.399999999999999</v>
      </c>
      <c r="H1410" s="4" t="str">
        <f>IF(AND(A1410="Yes",C1410="School"),COUNTIFS($A$6:A1410,"Yes",$C$6:C1410,"School"),"")</f>
        <v/>
      </c>
    </row>
    <row r="1411" spans="1:8">
      <c r="A1411" s="13"/>
      <c r="B1411" s="1" t="s">
        <v>2783</v>
      </c>
      <c r="C1411" s="1" t="s">
        <v>24</v>
      </c>
      <c r="D1411" s="1" t="s">
        <v>2814</v>
      </c>
      <c r="E1411" s="1" t="s">
        <v>2815</v>
      </c>
      <c r="F1411" s="2">
        <v>655</v>
      </c>
      <c r="G1411" s="3">
        <v>32.200000000000003</v>
      </c>
      <c r="H1411" s="4" t="str">
        <f>IF(AND(A1411="Yes",C1411="School"),COUNTIFS($A$6:A1411,"Yes",$C$6:C1411,"School"),"")</f>
        <v/>
      </c>
    </row>
    <row r="1412" spans="1:8">
      <c r="A1412" s="13"/>
      <c r="B1412" s="1" t="s">
        <v>2783</v>
      </c>
      <c r="C1412" s="1" t="s">
        <v>24</v>
      </c>
      <c r="D1412" s="1" t="s">
        <v>2816</v>
      </c>
      <c r="E1412" s="1" t="s">
        <v>2817</v>
      </c>
      <c r="F1412" s="2">
        <v>487</v>
      </c>
      <c r="G1412" s="3">
        <v>41.3</v>
      </c>
      <c r="H1412" s="4" t="str">
        <f>IF(AND(A1412="Yes",C1412="School"),COUNTIFS($A$6:A1412,"Yes",$C$6:C1412,"School"),"")</f>
        <v/>
      </c>
    </row>
    <row r="1413" spans="1:8">
      <c r="A1413" s="13"/>
      <c r="B1413" s="1" t="s">
        <v>2783</v>
      </c>
      <c r="C1413" s="1" t="s">
        <v>24</v>
      </c>
      <c r="D1413" s="1" t="s">
        <v>2818</v>
      </c>
      <c r="E1413" s="1" t="s">
        <v>2819</v>
      </c>
      <c r="F1413" s="2">
        <v>418</v>
      </c>
      <c r="G1413" s="3">
        <v>67.900000000000006</v>
      </c>
      <c r="H1413" s="4" t="str">
        <f>IF(AND(A1413="Yes",C1413="School"),COUNTIFS($A$6:A1413,"Yes",$C$6:C1413,"School"),"")</f>
        <v/>
      </c>
    </row>
    <row r="1414" spans="1:8">
      <c r="A1414" s="13"/>
      <c r="B1414" s="1" t="s">
        <v>2783</v>
      </c>
      <c r="C1414" s="1" t="s">
        <v>24</v>
      </c>
      <c r="D1414" s="1" t="s">
        <v>2820</v>
      </c>
      <c r="E1414" s="1" t="s">
        <v>2821</v>
      </c>
      <c r="F1414" s="2">
        <v>884</v>
      </c>
      <c r="G1414" s="3">
        <v>32.9</v>
      </c>
      <c r="H1414" s="4" t="str">
        <f>IF(AND(A1414="Yes",C1414="School"),COUNTIFS($A$6:A1414,"Yes",$C$6:C1414,"School"),"")</f>
        <v/>
      </c>
    </row>
    <row r="1415" spans="1:8">
      <c r="A1415" s="13"/>
      <c r="B1415" s="1" t="s">
        <v>2783</v>
      </c>
      <c r="C1415" s="1" t="s">
        <v>24</v>
      </c>
      <c r="D1415" s="1" t="s">
        <v>2822</v>
      </c>
      <c r="E1415" s="1" t="s">
        <v>2823</v>
      </c>
      <c r="F1415" s="2">
        <v>519</v>
      </c>
      <c r="G1415" s="3">
        <v>34.1</v>
      </c>
      <c r="H1415" s="4" t="str">
        <f>IF(AND(A1415="Yes",C1415="School"),COUNTIFS($A$6:A1415,"Yes",$C$6:C1415,"School"),"")</f>
        <v/>
      </c>
    </row>
    <row r="1416" spans="1:8">
      <c r="A1416" s="13"/>
      <c r="B1416" s="1" t="s">
        <v>2783</v>
      </c>
      <c r="C1416" s="1" t="s">
        <v>24</v>
      </c>
      <c r="D1416" s="1" t="s">
        <v>2824</v>
      </c>
      <c r="E1416" s="1" t="s">
        <v>2825</v>
      </c>
      <c r="F1416" s="2">
        <v>116</v>
      </c>
      <c r="G1416" s="3">
        <v>81.900000000000006</v>
      </c>
      <c r="H1416" s="4" t="str">
        <f>IF(AND(A1416="Yes",C1416="School"),COUNTIFS($A$6:A1416,"Yes",$C$6:C1416,"School"),"")</f>
        <v/>
      </c>
    </row>
    <row r="1417" spans="1:8">
      <c r="A1417" s="13"/>
      <c r="B1417" s="1" t="s">
        <v>2783</v>
      </c>
      <c r="C1417" s="1" t="s">
        <v>24</v>
      </c>
      <c r="D1417" s="1" t="s">
        <v>2826</v>
      </c>
      <c r="E1417" s="1" t="s">
        <v>2827</v>
      </c>
      <c r="F1417" s="2">
        <v>466</v>
      </c>
      <c r="G1417" s="3">
        <v>30.3</v>
      </c>
      <c r="H1417" s="4" t="str">
        <f>IF(AND(A1417="Yes",C1417="School"),COUNTIFS($A$6:A1417,"Yes",$C$6:C1417,"School"),"")</f>
        <v/>
      </c>
    </row>
    <row r="1418" spans="1:8">
      <c r="A1418" s="13"/>
      <c r="B1418" s="1" t="s">
        <v>2783</v>
      </c>
      <c r="C1418" s="1" t="s">
        <v>24</v>
      </c>
      <c r="D1418" s="1" t="s">
        <v>2828</v>
      </c>
      <c r="E1418" s="1" t="s">
        <v>2829</v>
      </c>
      <c r="F1418" s="2">
        <v>267</v>
      </c>
      <c r="G1418" s="3">
        <v>51.3</v>
      </c>
      <c r="H1418" s="4" t="str">
        <f>IF(AND(A1418="Yes",C1418="School"),COUNTIFS($A$6:A1418,"Yes",$C$6:C1418,"School"),"")</f>
        <v/>
      </c>
    </row>
    <row r="1419" spans="1:8">
      <c r="A1419" s="13"/>
      <c r="B1419" s="1" t="s">
        <v>2783</v>
      </c>
      <c r="C1419" s="1" t="s">
        <v>24</v>
      </c>
      <c r="D1419" s="1" t="s">
        <v>1168</v>
      </c>
      <c r="E1419" s="1" t="s">
        <v>2830</v>
      </c>
      <c r="F1419" s="2">
        <v>227</v>
      </c>
      <c r="G1419" s="3">
        <v>39.200000000000003</v>
      </c>
      <c r="H1419" s="4" t="str">
        <f>IF(AND(A1419="Yes",C1419="School"),COUNTIFS($A$6:A1419,"Yes",$C$6:C1419,"School"),"")</f>
        <v/>
      </c>
    </row>
    <row r="1420" spans="1:8">
      <c r="A1420" s="13"/>
      <c r="B1420" s="1" t="s">
        <v>2783</v>
      </c>
      <c r="C1420" s="1" t="s">
        <v>24</v>
      </c>
      <c r="D1420" s="1" t="s">
        <v>2831</v>
      </c>
      <c r="E1420" s="1" t="s">
        <v>2832</v>
      </c>
      <c r="F1420" s="2">
        <v>696</v>
      </c>
      <c r="G1420" s="3">
        <v>33.200000000000003</v>
      </c>
      <c r="H1420" s="4" t="str">
        <f>IF(AND(A1420="Yes",C1420="School"),COUNTIFS($A$6:A1420,"Yes",$C$6:C1420,"School"),"")</f>
        <v/>
      </c>
    </row>
    <row r="1421" spans="1:8">
      <c r="A1421" s="13"/>
      <c r="B1421" s="1" t="s">
        <v>2783</v>
      </c>
      <c r="C1421" s="1" t="s">
        <v>24</v>
      </c>
      <c r="D1421" s="1" t="s">
        <v>2833</v>
      </c>
      <c r="E1421" s="1" t="s">
        <v>2834</v>
      </c>
      <c r="F1421" s="2">
        <v>1627</v>
      </c>
      <c r="G1421" s="3">
        <v>35.299999999999997</v>
      </c>
      <c r="H1421" s="4" t="str">
        <f>IF(AND(A1421="Yes",C1421="School"),COUNTIFS($A$6:A1421,"Yes",$C$6:C1421,"School"),"")</f>
        <v/>
      </c>
    </row>
    <row r="1422" spans="1:8">
      <c r="A1422" s="13"/>
      <c r="B1422" s="1" t="s">
        <v>2783</v>
      </c>
      <c r="C1422" s="1" t="s">
        <v>24</v>
      </c>
      <c r="D1422" s="1" t="s">
        <v>2835</v>
      </c>
      <c r="E1422" s="1" t="s">
        <v>2836</v>
      </c>
      <c r="F1422" s="2">
        <v>973</v>
      </c>
      <c r="G1422" s="3">
        <v>51.3</v>
      </c>
      <c r="H1422" s="4" t="str">
        <f>IF(AND(A1422="Yes",C1422="School"),COUNTIFS($A$6:A1422,"Yes",$C$6:C1422,"School"),"")</f>
        <v/>
      </c>
    </row>
    <row r="1423" spans="1:8">
      <c r="A1423" s="13"/>
      <c r="B1423" s="1" t="s">
        <v>2783</v>
      </c>
      <c r="C1423" s="1" t="s">
        <v>24</v>
      </c>
      <c r="D1423" s="1" t="s">
        <v>2837</v>
      </c>
      <c r="E1423" s="1" t="s">
        <v>2838</v>
      </c>
      <c r="F1423" s="2">
        <v>613</v>
      </c>
      <c r="G1423" s="3">
        <v>10.6</v>
      </c>
      <c r="H1423" s="4" t="str">
        <f>IF(AND(A1423="Yes",C1423="School"),COUNTIFS($A$6:A1423,"Yes",$C$6:C1423,"School"),"")</f>
        <v/>
      </c>
    </row>
    <row r="1424" spans="1:8">
      <c r="A1424" s="13"/>
      <c r="B1424" s="1" t="s">
        <v>2783</v>
      </c>
      <c r="C1424" s="1" t="s">
        <v>24</v>
      </c>
      <c r="D1424" s="1" t="s">
        <v>2839</v>
      </c>
      <c r="E1424" s="1" t="s">
        <v>2840</v>
      </c>
      <c r="F1424" s="2">
        <v>523</v>
      </c>
      <c r="G1424" s="3">
        <v>64.2</v>
      </c>
      <c r="H1424" s="4" t="str">
        <f>IF(AND(A1424="Yes",C1424="School"),COUNTIFS($A$6:A1424,"Yes",$C$6:C1424,"School"),"")</f>
        <v/>
      </c>
    </row>
    <row r="1425" spans="1:8">
      <c r="A1425" s="13"/>
      <c r="B1425" s="1" t="s">
        <v>2783</v>
      </c>
      <c r="C1425" s="1" t="s">
        <v>24</v>
      </c>
      <c r="D1425" s="1" t="s">
        <v>2841</v>
      </c>
      <c r="E1425" s="1" t="s">
        <v>2842</v>
      </c>
      <c r="F1425" s="2">
        <v>380</v>
      </c>
      <c r="G1425" s="3">
        <v>62.6</v>
      </c>
      <c r="H1425" s="4" t="str">
        <f>IF(AND(A1425="Yes",C1425="School"),COUNTIFS($A$6:A1425,"Yes",$C$6:C1425,"School"),"")</f>
        <v/>
      </c>
    </row>
    <row r="1426" spans="1:8">
      <c r="A1426" s="13"/>
      <c r="B1426" s="1" t="s">
        <v>2783</v>
      </c>
      <c r="C1426" s="1" t="s">
        <v>24</v>
      </c>
      <c r="D1426" s="1" t="s">
        <v>2843</v>
      </c>
      <c r="E1426" s="1" t="s">
        <v>2844</v>
      </c>
      <c r="F1426" s="2">
        <v>936</v>
      </c>
      <c r="G1426" s="3">
        <v>36.5</v>
      </c>
      <c r="H1426" s="4" t="str">
        <f>IF(AND(A1426="Yes",C1426="School"),COUNTIFS($A$6:A1426,"Yes",$C$6:C1426,"School"),"")</f>
        <v/>
      </c>
    </row>
    <row r="1427" spans="1:8">
      <c r="A1427" s="13"/>
      <c r="B1427" s="1" t="s">
        <v>2783</v>
      </c>
      <c r="C1427" s="1" t="s">
        <v>24</v>
      </c>
      <c r="D1427" s="1" t="s">
        <v>2845</v>
      </c>
      <c r="E1427" s="1" t="s">
        <v>2846</v>
      </c>
      <c r="F1427" s="2">
        <v>479</v>
      </c>
      <c r="G1427" s="3">
        <v>30.7</v>
      </c>
      <c r="H1427" s="4" t="str">
        <f>IF(AND(A1427="Yes",C1427="School"),COUNTIFS($A$6:A1427,"Yes",$C$6:C1427,"School"),"")</f>
        <v/>
      </c>
    </row>
    <row r="1428" spans="1:8">
      <c r="A1428" s="13"/>
      <c r="B1428" s="1" t="s">
        <v>2783</v>
      </c>
      <c r="C1428" s="1" t="s">
        <v>24</v>
      </c>
      <c r="D1428" s="1" t="s">
        <v>2847</v>
      </c>
      <c r="E1428" s="1" t="s">
        <v>2848</v>
      </c>
      <c r="F1428" s="2">
        <v>229</v>
      </c>
      <c r="G1428" s="3">
        <v>37.6</v>
      </c>
      <c r="H1428" s="4" t="str">
        <f>IF(AND(A1428="Yes",C1428="School"),COUNTIFS($A$6:A1428,"Yes",$C$6:C1428,"School"),"")</f>
        <v/>
      </c>
    </row>
    <row r="1429" spans="1:8">
      <c r="A1429" s="13"/>
      <c r="B1429" s="1" t="s">
        <v>2783</v>
      </c>
      <c r="C1429" s="1" t="s">
        <v>24</v>
      </c>
      <c r="D1429" s="1" t="s">
        <v>2849</v>
      </c>
      <c r="E1429" s="1" t="s">
        <v>2850</v>
      </c>
      <c r="F1429" s="2">
        <v>669</v>
      </c>
      <c r="G1429" s="3">
        <v>43.3</v>
      </c>
      <c r="H1429" s="4" t="str">
        <f>IF(AND(A1429="Yes",C1429="School"),COUNTIFS($A$6:A1429,"Yes",$C$6:C1429,"School"),"")</f>
        <v/>
      </c>
    </row>
    <row r="1430" spans="1:8">
      <c r="A1430" s="13"/>
      <c r="B1430" s="1" t="s">
        <v>2783</v>
      </c>
      <c r="C1430" s="1" t="s">
        <v>24</v>
      </c>
      <c r="D1430" s="1" t="s">
        <v>2851</v>
      </c>
      <c r="E1430" s="1" t="s">
        <v>2852</v>
      </c>
      <c r="F1430" s="2">
        <v>539</v>
      </c>
      <c r="G1430" s="3">
        <v>47.1</v>
      </c>
      <c r="H1430" s="4" t="str">
        <f>IF(AND(A1430="Yes",C1430="School"),COUNTIFS($A$6:A1430,"Yes",$C$6:C1430,"School"),"")</f>
        <v/>
      </c>
    </row>
    <row r="1431" spans="1:8">
      <c r="A1431" s="13"/>
      <c r="B1431" s="1" t="s">
        <v>2783</v>
      </c>
      <c r="C1431" s="1" t="s">
        <v>24</v>
      </c>
      <c r="D1431" s="1" t="s">
        <v>2853</v>
      </c>
      <c r="E1431" s="1" t="s">
        <v>2854</v>
      </c>
      <c r="F1431" s="2">
        <v>545</v>
      </c>
      <c r="G1431" s="3">
        <v>14.9</v>
      </c>
      <c r="H1431" s="4" t="str">
        <f>IF(AND(A1431="Yes",C1431="School"),COUNTIFS($A$6:A1431,"Yes",$C$6:C1431,"School"),"")</f>
        <v/>
      </c>
    </row>
    <row r="1432" spans="1:8">
      <c r="A1432" s="13"/>
      <c r="B1432" s="1" t="s">
        <v>2783</v>
      </c>
      <c r="C1432" s="1" t="s">
        <v>24</v>
      </c>
      <c r="D1432" s="1" t="s">
        <v>2855</v>
      </c>
      <c r="E1432" s="1" t="s">
        <v>2856</v>
      </c>
      <c r="F1432" s="2">
        <v>634</v>
      </c>
      <c r="G1432" s="3">
        <v>25.9</v>
      </c>
      <c r="H1432" s="4" t="str">
        <f>IF(AND(A1432="Yes",C1432="School"),COUNTIFS($A$6:A1432,"Yes",$C$6:C1432,"School"),"")</f>
        <v/>
      </c>
    </row>
    <row r="1433" spans="1:8">
      <c r="A1433" s="13"/>
      <c r="B1433" s="1" t="s">
        <v>2857</v>
      </c>
      <c r="C1433" s="1" t="s">
        <v>24</v>
      </c>
      <c r="D1433" s="1" t="s">
        <v>2857</v>
      </c>
      <c r="E1433" s="1" t="s">
        <v>2858</v>
      </c>
      <c r="F1433" s="2">
        <v>219</v>
      </c>
      <c r="G1433" s="3">
        <v>21</v>
      </c>
      <c r="H1433" s="4" t="str">
        <f>IF(AND(A1433="Yes",C1433="School"),COUNTIFS($A$6:A1433,"Yes",$C$6:C1433,"School"),"")</f>
        <v/>
      </c>
    </row>
    <row r="1434" spans="1:8">
      <c r="A1434" s="13"/>
      <c r="B1434" s="1" t="s">
        <v>2859</v>
      </c>
      <c r="C1434" s="1" t="s">
        <v>40</v>
      </c>
      <c r="D1434" s="1" t="s">
        <v>41</v>
      </c>
      <c r="E1434" s="1" t="s">
        <v>2860</v>
      </c>
      <c r="F1434" s="2">
        <v>3240</v>
      </c>
      <c r="G1434" s="3">
        <v>46.4</v>
      </c>
      <c r="H1434" s="4" t="str">
        <f>IF(AND(A1434="Yes",C1434="School"),COUNTIFS($A$6:A1434,"Yes",$C$6:C1434,"School"),"")</f>
        <v/>
      </c>
    </row>
    <row r="1435" spans="1:8">
      <c r="A1435" s="13"/>
      <c r="B1435" s="1" t="s">
        <v>2859</v>
      </c>
      <c r="C1435" s="1" t="s">
        <v>24</v>
      </c>
      <c r="D1435" s="1" t="s">
        <v>2861</v>
      </c>
      <c r="E1435" s="1" t="s">
        <v>2862</v>
      </c>
      <c r="F1435" s="2">
        <v>117</v>
      </c>
      <c r="G1435" s="3">
        <v>45.3</v>
      </c>
      <c r="H1435" s="4" t="str">
        <f>IF(AND(A1435="Yes",C1435="School"),COUNTIFS($A$6:A1435,"Yes",$C$6:C1435,"School"),"")</f>
        <v/>
      </c>
    </row>
    <row r="1436" spans="1:8">
      <c r="A1436" s="13"/>
      <c r="B1436" s="1" t="s">
        <v>2859</v>
      </c>
      <c r="C1436" s="1" t="s">
        <v>24</v>
      </c>
      <c r="D1436" s="1" t="s">
        <v>2863</v>
      </c>
      <c r="E1436" s="1" t="s">
        <v>2864</v>
      </c>
      <c r="F1436" s="2">
        <v>115</v>
      </c>
      <c r="G1436" s="3">
        <v>54.8</v>
      </c>
      <c r="H1436" s="4" t="str">
        <f>IF(AND(A1436="Yes",C1436="School"),COUNTIFS($A$6:A1436,"Yes",$C$6:C1436,"School"),"")</f>
        <v/>
      </c>
    </row>
    <row r="1437" spans="1:8">
      <c r="A1437" s="13"/>
      <c r="B1437" s="1" t="s">
        <v>2859</v>
      </c>
      <c r="C1437" s="1" t="s">
        <v>24</v>
      </c>
      <c r="D1437" s="1" t="s">
        <v>2865</v>
      </c>
      <c r="E1437" s="1" t="s">
        <v>2866</v>
      </c>
      <c r="F1437" s="2">
        <v>532</v>
      </c>
      <c r="G1437" s="3">
        <v>46.4</v>
      </c>
      <c r="H1437" s="4" t="str">
        <f>IF(AND(A1437="Yes",C1437="School"),COUNTIFS($A$6:A1437,"Yes",$C$6:C1437,"School"),"")</f>
        <v/>
      </c>
    </row>
    <row r="1438" spans="1:8">
      <c r="A1438" s="13"/>
      <c r="B1438" s="1" t="s">
        <v>2859</v>
      </c>
      <c r="C1438" s="1" t="s">
        <v>24</v>
      </c>
      <c r="D1438" s="1" t="s">
        <v>2867</v>
      </c>
      <c r="E1438" s="1" t="s">
        <v>2868</v>
      </c>
      <c r="F1438" s="2">
        <v>785</v>
      </c>
      <c r="G1438" s="3">
        <v>41.9</v>
      </c>
      <c r="H1438" s="4" t="str">
        <f>IF(AND(A1438="Yes",C1438="School"),COUNTIFS($A$6:A1438,"Yes",$C$6:C1438,"School"),"")</f>
        <v/>
      </c>
    </row>
    <row r="1439" spans="1:8">
      <c r="A1439" s="13"/>
      <c r="B1439" s="1" t="s">
        <v>2859</v>
      </c>
      <c r="C1439" s="1" t="s">
        <v>24</v>
      </c>
      <c r="D1439" s="1" t="s">
        <v>2869</v>
      </c>
      <c r="E1439" s="1" t="s">
        <v>2870</v>
      </c>
      <c r="F1439" s="2">
        <v>126</v>
      </c>
      <c r="G1439" s="3">
        <v>30.2</v>
      </c>
      <c r="H1439" s="4" t="str">
        <f>IF(AND(A1439="Yes",C1439="School"),COUNTIFS($A$6:A1439,"Yes",$C$6:C1439,"School"),"")</f>
        <v/>
      </c>
    </row>
    <row r="1440" spans="1:8">
      <c r="A1440" s="13"/>
      <c r="B1440" s="1" t="s">
        <v>2859</v>
      </c>
      <c r="C1440" s="1" t="s">
        <v>24</v>
      </c>
      <c r="D1440" s="1" t="s">
        <v>2871</v>
      </c>
      <c r="E1440" s="1" t="s">
        <v>2872</v>
      </c>
      <c r="F1440" s="2">
        <v>45</v>
      </c>
      <c r="G1440" s="3">
        <v>77.8</v>
      </c>
      <c r="H1440" s="4" t="str">
        <f>IF(AND(A1440="Yes",C1440="School"),COUNTIFS($A$6:A1440,"Yes",$C$6:C1440,"School"),"")</f>
        <v/>
      </c>
    </row>
    <row r="1441" spans="1:8">
      <c r="A1441" s="13"/>
      <c r="B1441" s="1" t="s">
        <v>2859</v>
      </c>
      <c r="C1441" s="1" t="s">
        <v>24</v>
      </c>
      <c r="D1441" s="1" t="s">
        <v>2873</v>
      </c>
      <c r="E1441" s="1" t="s">
        <v>2874</v>
      </c>
      <c r="F1441" s="2">
        <v>403</v>
      </c>
      <c r="G1441" s="3">
        <v>50.9</v>
      </c>
      <c r="H1441" s="4" t="str">
        <f>IF(AND(A1441="Yes",C1441="School"),COUNTIFS($A$6:A1441,"Yes",$C$6:C1441,"School"),"")</f>
        <v/>
      </c>
    </row>
    <row r="1442" spans="1:8">
      <c r="A1442" s="13"/>
      <c r="B1442" s="1" t="s">
        <v>2859</v>
      </c>
      <c r="C1442" s="1" t="s">
        <v>24</v>
      </c>
      <c r="D1442" s="1" t="s">
        <v>2875</v>
      </c>
      <c r="E1442" s="1" t="s">
        <v>2876</v>
      </c>
      <c r="F1442" s="2">
        <v>325</v>
      </c>
      <c r="G1442" s="3">
        <v>66.5</v>
      </c>
      <c r="H1442" s="4" t="str">
        <f>IF(AND(A1442="Yes",C1442="School"),COUNTIFS($A$6:A1442,"Yes",$C$6:C1442,"School"),"")</f>
        <v/>
      </c>
    </row>
    <row r="1443" spans="1:8">
      <c r="A1443" s="13"/>
      <c r="B1443" s="1" t="s">
        <v>2859</v>
      </c>
      <c r="C1443" s="1" t="s">
        <v>24</v>
      </c>
      <c r="D1443" s="1" t="s">
        <v>2877</v>
      </c>
      <c r="E1443" s="1" t="s">
        <v>2878</v>
      </c>
      <c r="F1443" s="2">
        <v>792</v>
      </c>
      <c r="G1443" s="3">
        <v>40</v>
      </c>
      <c r="H1443" s="4" t="str">
        <f>IF(AND(A1443="Yes",C1443="School"),COUNTIFS($A$6:A1443,"Yes",$C$6:C1443,"School"),"")</f>
        <v/>
      </c>
    </row>
    <row r="1444" spans="1:8">
      <c r="A1444" s="13"/>
      <c r="B1444" s="1" t="s">
        <v>2879</v>
      </c>
      <c r="C1444" s="1" t="s">
        <v>24</v>
      </c>
      <c r="D1444" s="1" t="s">
        <v>2879</v>
      </c>
      <c r="E1444" s="1" t="s">
        <v>2880</v>
      </c>
      <c r="F1444" s="2">
        <v>898</v>
      </c>
      <c r="G1444" s="3">
        <v>36.4</v>
      </c>
      <c r="H1444" s="4" t="str">
        <f>IF(AND(A1444="Yes",C1444="School"),COUNTIFS($A$6:A1444,"Yes",$C$6:C1444,"School"),"")</f>
        <v/>
      </c>
    </row>
    <row r="1445" spans="1:8">
      <c r="A1445" s="13"/>
      <c r="B1445" s="1" t="s">
        <v>2881</v>
      </c>
      <c r="C1445" s="1" t="s">
        <v>24</v>
      </c>
      <c r="D1445" s="1" t="s">
        <v>2881</v>
      </c>
      <c r="E1445" s="1" t="s">
        <v>2882</v>
      </c>
      <c r="F1445" s="2">
        <v>714</v>
      </c>
      <c r="G1445" s="3">
        <v>49</v>
      </c>
      <c r="H1445" s="4" t="str">
        <f>IF(AND(A1445="Yes",C1445="School"),COUNTIFS($A$6:A1445,"Yes",$C$6:C1445,"School"),"")</f>
        <v/>
      </c>
    </row>
    <row r="1446" spans="1:8">
      <c r="A1446" s="13"/>
      <c r="B1446" s="1" t="s">
        <v>2883</v>
      </c>
      <c r="C1446" s="1" t="s">
        <v>40</v>
      </c>
      <c r="D1446" s="1" t="s">
        <v>41</v>
      </c>
      <c r="E1446" s="1" t="s">
        <v>2884</v>
      </c>
      <c r="F1446" s="2">
        <v>37105</v>
      </c>
      <c r="G1446" s="3">
        <v>39.6</v>
      </c>
      <c r="H1446" s="4" t="str">
        <f>IF(AND(A1446="Yes",C1446="School"),COUNTIFS($A$6:A1446,"Yes",$C$6:C1446,"School"),"")</f>
        <v/>
      </c>
    </row>
    <row r="1447" spans="1:8">
      <c r="A1447" s="13"/>
      <c r="B1447" s="1" t="s">
        <v>2883</v>
      </c>
      <c r="C1447" s="1" t="s">
        <v>24</v>
      </c>
      <c r="D1447" s="1" t="s">
        <v>2885</v>
      </c>
      <c r="E1447" s="1" t="s">
        <v>2886</v>
      </c>
      <c r="F1447" s="2">
        <v>1308</v>
      </c>
      <c r="G1447" s="3">
        <v>28.4</v>
      </c>
      <c r="H1447" s="4" t="str">
        <f>IF(AND(A1447="Yes",C1447="School"),COUNTIFS($A$6:A1447,"Yes",$C$6:C1447,"School"),"")</f>
        <v/>
      </c>
    </row>
    <row r="1448" spans="1:8">
      <c r="A1448" s="13"/>
      <c r="B1448" s="1" t="s">
        <v>2883</v>
      </c>
      <c r="C1448" s="1" t="s">
        <v>24</v>
      </c>
      <c r="D1448" s="1" t="s">
        <v>2887</v>
      </c>
      <c r="E1448" s="1" t="s">
        <v>2888</v>
      </c>
      <c r="F1448" s="2">
        <v>832</v>
      </c>
      <c r="G1448" s="3">
        <v>58.9</v>
      </c>
      <c r="H1448" s="4" t="str">
        <f>IF(AND(A1448="Yes",C1448="School"),COUNTIFS($A$6:A1448,"Yes",$C$6:C1448,"School"),"")</f>
        <v/>
      </c>
    </row>
    <row r="1449" spans="1:8">
      <c r="A1449" s="13"/>
      <c r="B1449" s="1" t="s">
        <v>2883</v>
      </c>
      <c r="C1449" s="1" t="s">
        <v>24</v>
      </c>
      <c r="D1449" s="1" t="s">
        <v>2889</v>
      </c>
      <c r="E1449" s="1" t="s">
        <v>2890</v>
      </c>
      <c r="F1449" s="2">
        <v>427</v>
      </c>
      <c r="G1449" s="3">
        <v>53.2</v>
      </c>
      <c r="H1449" s="4" t="str">
        <f>IF(AND(A1449="Yes",C1449="School"),COUNTIFS($A$6:A1449,"Yes",$C$6:C1449,"School"),"")</f>
        <v/>
      </c>
    </row>
    <row r="1450" spans="1:8">
      <c r="A1450" s="13"/>
      <c r="B1450" s="1" t="s">
        <v>2883</v>
      </c>
      <c r="C1450" s="1" t="s">
        <v>24</v>
      </c>
      <c r="D1450" s="1" t="s">
        <v>2891</v>
      </c>
      <c r="E1450" s="1" t="s">
        <v>2892</v>
      </c>
      <c r="F1450" s="2">
        <v>81</v>
      </c>
      <c r="G1450" s="3">
        <v>63</v>
      </c>
      <c r="H1450" s="4" t="str">
        <f>IF(AND(A1450="Yes",C1450="School"),COUNTIFS($A$6:A1450,"Yes",$C$6:C1450,"School"),"")</f>
        <v/>
      </c>
    </row>
    <row r="1451" spans="1:8">
      <c r="A1451" s="13"/>
      <c r="B1451" s="1" t="s">
        <v>2883</v>
      </c>
      <c r="C1451" s="1" t="s">
        <v>24</v>
      </c>
      <c r="D1451" s="1" t="s">
        <v>2893</v>
      </c>
      <c r="E1451" s="1" t="s">
        <v>2894</v>
      </c>
      <c r="F1451" s="2">
        <v>1848</v>
      </c>
      <c r="G1451" s="3">
        <v>31.8</v>
      </c>
      <c r="H1451" s="4" t="str">
        <f>IF(AND(A1451="Yes",C1451="School"),COUNTIFS($A$6:A1451,"Yes",$C$6:C1451,"School"),"")</f>
        <v/>
      </c>
    </row>
    <row r="1452" spans="1:8">
      <c r="A1452" s="13"/>
      <c r="B1452" s="1" t="s">
        <v>2883</v>
      </c>
      <c r="C1452" s="1" t="s">
        <v>24</v>
      </c>
      <c r="D1452" s="1" t="s">
        <v>2895</v>
      </c>
      <c r="E1452" s="1" t="s">
        <v>2896</v>
      </c>
      <c r="F1452" s="2">
        <v>689</v>
      </c>
      <c r="G1452" s="3">
        <v>39.6</v>
      </c>
      <c r="H1452" s="4" t="str">
        <f>IF(AND(A1452="Yes",C1452="School"),COUNTIFS($A$6:A1452,"Yes",$C$6:C1452,"School"),"")</f>
        <v/>
      </c>
    </row>
    <row r="1453" spans="1:8">
      <c r="A1453" s="13"/>
      <c r="B1453" s="1" t="s">
        <v>2883</v>
      </c>
      <c r="C1453" s="1" t="s">
        <v>24</v>
      </c>
      <c r="D1453" s="1" t="s">
        <v>2897</v>
      </c>
      <c r="E1453" s="1" t="s">
        <v>2898</v>
      </c>
      <c r="F1453" s="2">
        <v>842</v>
      </c>
      <c r="G1453" s="3">
        <v>27.3</v>
      </c>
      <c r="H1453" s="4" t="str">
        <f>IF(AND(A1453="Yes",C1453="School"),COUNTIFS($A$6:A1453,"Yes",$C$6:C1453,"School"),"")</f>
        <v/>
      </c>
    </row>
    <row r="1454" spans="1:8">
      <c r="A1454" s="13"/>
      <c r="B1454" s="1" t="s">
        <v>2883</v>
      </c>
      <c r="C1454" s="1" t="s">
        <v>24</v>
      </c>
      <c r="D1454" s="1" t="s">
        <v>2899</v>
      </c>
      <c r="E1454" s="1" t="s">
        <v>2900</v>
      </c>
      <c r="F1454" s="2">
        <v>1758</v>
      </c>
      <c r="G1454" s="3">
        <v>26.5</v>
      </c>
      <c r="H1454" s="4" t="str">
        <f>IF(AND(A1454="Yes",C1454="School"),COUNTIFS($A$6:A1454,"Yes",$C$6:C1454,"School"),"")</f>
        <v/>
      </c>
    </row>
    <row r="1455" spans="1:8">
      <c r="A1455" s="13"/>
      <c r="B1455" s="1" t="s">
        <v>2883</v>
      </c>
      <c r="C1455" s="1" t="s">
        <v>24</v>
      </c>
      <c r="D1455" s="1" t="s">
        <v>2901</v>
      </c>
      <c r="E1455" s="1" t="s">
        <v>2902</v>
      </c>
      <c r="F1455" s="2">
        <v>899</v>
      </c>
      <c r="G1455" s="3">
        <v>29.9</v>
      </c>
      <c r="H1455" s="4" t="str">
        <f>IF(AND(A1455="Yes",C1455="School"),COUNTIFS($A$6:A1455,"Yes",$C$6:C1455,"School"),"")</f>
        <v/>
      </c>
    </row>
    <row r="1456" spans="1:8">
      <c r="A1456" s="13"/>
      <c r="B1456" s="1" t="s">
        <v>2883</v>
      </c>
      <c r="C1456" s="1" t="s">
        <v>24</v>
      </c>
      <c r="D1456" s="1" t="s">
        <v>2903</v>
      </c>
      <c r="E1456" s="1" t="s">
        <v>2904</v>
      </c>
      <c r="F1456" s="2">
        <v>591</v>
      </c>
      <c r="G1456" s="3">
        <v>49.6</v>
      </c>
      <c r="H1456" s="4" t="str">
        <f>IF(AND(A1456="Yes",C1456="School"),COUNTIFS($A$6:A1456,"Yes",$C$6:C1456,"School"),"")</f>
        <v/>
      </c>
    </row>
    <row r="1457" spans="1:8">
      <c r="A1457" s="13"/>
      <c r="B1457" s="1" t="s">
        <v>2883</v>
      </c>
      <c r="C1457" s="1" t="s">
        <v>24</v>
      </c>
      <c r="D1457" s="1" t="s">
        <v>2905</v>
      </c>
      <c r="E1457" s="1" t="s">
        <v>2906</v>
      </c>
      <c r="F1457" s="2">
        <v>2072</v>
      </c>
      <c r="G1457" s="3">
        <v>27.2</v>
      </c>
      <c r="H1457" s="4" t="str">
        <f>IF(AND(A1457="Yes",C1457="School"),COUNTIFS($A$6:A1457,"Yes",$C$6:C1457,"School"),"")</f>
        <v/>
      </c>
    </row>
    <row r="1458" spans="1:8">
      <c r="A1458" s="13"/>
      <c r="B1458" s="1" t="s">
        <v>2883</v>
      </c>
      <c r="C1458" s="1" t="s">
        <v>24</v>
      </c>
      <c r="D1458" s="1" t="s">
        <v>2907</v>
      </c>
      <c r="E1458" s="1" t="s">
        <v>2908</v>
      </c>
      <c r="F1458" s="2">
        <v>633</v>
      </c>
      <c r="G1458" s="3">
        <v>40.6</v>
      </c>
      <c r="H1458" s="4" t="str">
        <f>IF(AND(A1458="Yes",C1458="School"),COUNTIFS($A$6:A1458,"Yes",$C$6:C1458,"School"),"")</f>
        <v/>
      </c>
    </row>
    <row r="1459" spans="1:8">
      <c r="A1459" s="13"/>
      <c r="B1459" s="1" t="s">
        <v>2883</v>
      </c>
      <c r="C1459" s="1" t="s">
        <v>24</v>
      </c>
      <c r="D1459" s="1" t="s">
        <v>2909</v>
      </c>
      <c r="E1459" s="1" t="s">
        <v>2910</v>
      </c>
      <c r="F1459" s="2">
        <v>691</v>
      </c>
      <c r="G1459" s="3">
        <v>37.200000000000003</v>
      </c>
      <c r="H1459" s="4" t="str">
        <f>IF(AND(A1459="Yes",C1459="School"),COUNTIFS($A$6:A1459,"Yes",$C$6:C1459,"School"),"")</f>
        <v/>
      </c>
    </row>
    <row r="1460" spans="1:8">
      <c r="A1460" s="13"/>
      <c r="B1460" s="1" t="s">
        <v>2883</v>
      </c>
      <c r="C1460" s="1" t="s">
        <v>24</v>
      </c>
      <c r="D1460" s="1" t="s">
        <v>2911</v>
      </c>
      <c r="E1460" s="1" t="s">
        <v>2912</v>
      </c>
      <c r="F1460" s="2">
        <v>540</v>
      </c>
      <c r="G1460" s="3">
        <v>52.8</v>
      </c>
      <c r="H1460" s="4" t="str">
        <f>IF(AND(A1460="Yes",C1460="School"),COUNTIFS($A$6:A1460,"Yes",$C$6:C1460,"School"),"")</f>
        <v/>
      </c>
    </row>
    <row r="1461" spans="1:8">
      <c r="A1461" s="13"/>
      <c r="B1461" s="1" t="s">
        <v>2883</v>
      </c>
      <c r="C1461" s="1" t="s">
        <v>24</v>
      </c>
      <c r="D1461" s="1" t="s">
        <v>2913</v>
      </c>
      <c r="E1461" s="1" t="s">
        <v>2914</v>
      </c>
      <c r="F1461" s="2">
        <v>984</v>
      </c>
      <c r="G1461" s="3">
        <v>48.9</v>
      </c>
      <c r="H1461" s="4" t="str">
        <f>IF(AND(A1461="Yes",C1461="School"),COUNTIFS($A$6:A1461,"Yes",$C$6:C1461,"School"),"")</f>
        <v/>
      </c>
    </row>
    <row r="1462" spans="1:8">
      <c r="A1462" s="13"/>
      <c r="B1462" s="1" t="s">
        <v>2883</v>
      </c>
      <c r="C1462" s="1" t="s">
        <v>24</v>
      </c>
      <c r="D1462" s="1" t="s">
        <v>2915</v>
      </c>
      <c r="E1462" s="1" t="s">
        <v>2916</v>
      </c>
      <c r="F1462" s="2">
        <v>445</v>
      </c>
      <c r="G1462" s="3">
        <v>41.8</v>
      </c>
      <c r="H1462" s="4" t="str">
        <f>IF(AND(A1462="Yes",C1462="School"),COUNTIFS($A$6:A1462,"Yes",$C$6:C1462,"School"),"")</f>
        <v/>
      </c>
    </row>
    <row r="1463" spans="1:8">
      <c r="A1463" s="13"/>
      <c r="B1463" s="1" t="s">
        <v>2883</v>
      </c>
      <c r="C1463" s="1" t="s">
        <v>24</v>
      </c>
      <c r="D1463" s="1" t="s">
        <v>2917</v>
      </c>
      <c r="E1463" s="1" t="s">
        <v>2918</v>
      </c>
      <c r="F1463" s="2">
        <v>396</v>
      </c>
      <c r="G1463" s="3">
        <v>54.8</v>
      </c>
      <c r="H1463" s="4" t="str">
        <f>IF(AND(A1463="Yes",C1463="School"),COUNTIFS($A$6:A1463,"Yes",$C$6:C1463,"School"),"")</f>
        <v/>
      </c>
    </row>
    <row r="1464" spans="1:8">
      <c r="A1464" s="13"/>
      <c r="B1464" s="1" t="s">
        <v>2883</v>
      </c>
      <c r="C1464" s="1" t="s">
        <v>24</v>
      </c>
      <c r="D1464" s="1" t="s">
        <v>2919</v>
      </c>
      <c r="E1464" s="1" t="s">
        <v>2920</v>
      </c>
      <c r="F1464" s="2">
        <v>449</v>
      </c>
      <c r="G1464" s="3">
        <v>52.8</v>
      </c>
      <c r="H1464" s="4" t="str">
        <f>IF(AND(A1464="Yes",C1464="School"),COUNTIFS($A$6:A1464,"Yes",$C$6:C1464,"School"),"")</f>
        <v/>
      </c>
    </row>
    <row r="1465" spans="1:8">
      <c r="A1465" s="13"/>
      <c r="B1465" s="1" t="s">
        <v>2883</v>
      </c>
      <c r="C1465" s="1" t="s">
        <v>24</v>
      </c>
      <c r="D1465" s="1" t="s">
        <v>2921</v>
      </c>
      <c r="E1465" s="1" t="s">
        <v>2922</v>
      </c>
      <c r="F1465" s="2">
        <v>216</v>
      </c>
      <c r="G1465" s="3">
        <v>18.5</v>
      </c>
      <c r="H1465" s="4" t="str">
        <f>IF(AND(A1465="Yes",C1465="School"),COUNTIFS($A$6:A1465,"Yes",$C$6:C1465,"School"),"")</f>
        <v/>
      </c>
    </row>
    <row r="1466" spans="1:8">
      <c r="A1466" s="13"/>
      <c r="B1466" s="1" t="s">
        <v>2883</v>
      </c>
      <c r="C1466" s="1" t="s">
        <v>24</v>
      </c>
      <c r="D1466" s="1" t="s">
        <v>2923</v>
      </c>
      <c r="E1466" s="1" t="s">
        <v>2924</v>
      </c>
      <c r="F1466" s="2">
        <v>230</v>
      </c>
      <c r="G1466" s="3">
        <v>29.6</v>
      </c>
      <c r="H1466" s="4" t="str">
        <f>IF(AND(A1466="Yes",C1466="School"),COUNTIFS($A$6:A1466,"Yes",$C$6:C1466,"School"),"")</f>
        <v/>
      </c>
    </row>
    <row r="1467" spans="1:8">
      <c r="A1467" s="13"/>
      <c r="B1467" s="1" t="s">
        <v>2883</v>
      </c>
      <c r="C1467" s="1" t="s">
        <v>24</v>
      </c>
      <c r="D1467" s="1" t="s">
        <v>2925</v>
      </c>
      <c r="E1467" s="1" t="s">
        <v>2926</v>
      </c>
      <c r="F1467" s="2">
        <v>893</v>
      </c>
      <c r="G1467" s="3">
        <v>37.799999999999997</v>
      </c>
      <c r="H1467" s="4" t="str">
        <f>IF(AND(A1467="Yes",C1467="School"),COUNTIFS($A$6:A1467,"Yes",$C$6:C1467,"School"),"")</f>
        <v/>
      </c>
    </row>
    <row r="1468" spans="1:8">
      <c r="A1468" s="13"/>
      <c r="B1468" s="1" t="s">
        <v>2883</v>
      </c>
      <c r="C1468" s="1" t="s">
        <v>24</v>
      </c>
      <c r="D1468" s="1" t="s">
        <v>2927</v>
      </c>
      <c r="E1468" s="1" t="s">
        <v>2928</v>
      </c>
      <c r="F1468" s="2">
        <v>770</v>
      </c>
      <c r="G1468" s="3">
        <v>31.8</v>
      </c>
      <c r="H1468" s="4" t="str">
        <f>IF(AND(A1468="Yes",C1468="School"),COUNTIFS($A$6:A1468,"Yes",$C$6:C1468,"School"),"")</f>
        <v/>
      </c>
    </row>
    <row r="1469" spans="1:8">
      <c r="A1469" s="13"/>
      <c r="B1469" s="1" t="s">
        <v>2883</v>
      </c>
      <c r="C1469" s="1" t="s">
        <v>24</v>
      </c>
      <c r="D1469" s="1" t="s">
        <v>2929</v>
      </c>
      <c r="E1469" s="1" t="s">
        <v>2930</v>
      </c>
      <c r="F1469" s="2">
        <v>642</v>
      </c>
      <c r="G1469" s="3">
        <v>42.1</v>
      </c>
      <c r="H1469" s="4" t="str">
        <f>IF(AND(A1469="Yes",C1469="School"),COUNTIFS($A$6:A1469,"Yes",$C$6:C1469,"School"),"")</f>
        <v/>
      </c>
    </row>
    <row r="1470" spans="1:8">
      <c r="A1470" s="13"/>
      <c r="B1470" s="1" t="s">
        <v>2883</v>
      </c>
      <c r="C1470" s="1" t="s">
        <v>24</v>
      </c>
      <c r="D1470" s="1" t="s">
        <v>2931</v>
      </c>
      <c r="E1470" s="1" t="s">
        <v>2932</v>
      </c>
      <c r="F1470" s="2">
        <v>366</v>
      </c>
      <c r="G1470" s="3">
        <v>54.9</v>
      </c>
      <c r="H1470" s="4" t="str">
        <f>IF(AND(A1470="Yes",C1470="School"),COUNTIFS($A$6:A1470,"Yes",$C$6:C1470,"School"),"")</f>
        <v/>
      </c>
    </row>
    <row r="1471" spans="1:8">
      <c r="A1471" s="13"/>
      <c r="B1471" s="1" t="s">
        <v>2883</v>
      </c>
      <c r="C1471" s="1" t="s">
        <v>24</v>
      </c>
      <c r="D1471" s="1" t="s">
        <v>2933</v>
      </c>
      <c r="E1471" s="1" t="s">
        <v>2934</v>
      </c>
      <c r="F1471" s="2">
        <v>733</v>
      </c>
      <c r="G1471" s="3">
        <v>42.2</v>
      </c>
      <c r="H1471" s="4" t="str">
        <f>IF(AND(A1471="Yes",C1471="School"),COUNTIFS($A$6:A1471,"Yes",$C$6:C1471,"School"),"")</f>
        <v/>
      </c>
    </row>
    <row r="1472" spans="1:8">
      <c r="A1472" s="13"/>
      <c r="B1472" s="1" t="s">
        <v>2883</v>
      </c>
      <c r="C1472" s="1" t="s">
        <v>24</v>
      </c>
      <c r="D1472" s="1" t="s">
        <v>2935</v>
      </c>
      <c r="E1472" s="1" t="s">
        <v>2936</v>
      </c>
      <c r="F1472" s="2">
        <v>601</v>
      </c>
      <c r="G1472" s="3">
        <v>46.1</v>
      </c>
      <c r="H1472" s="4" t="str">
        <f>IF(AND(A1472="Yes",C1472="School"),COUNTIFS($A$6:A1472,"Yes",$C$6:C1472,"School"),"")</f>
        <v/>
      </c>
    </row>
    <row r="1473" spans="1:8">
      <c r="A1473" s="13"/>
      <c r="B1473" s="1" t="s">
        <v>2883</v>
      </c>
      <c r="C1473" s="1" t="s">
        <v>24</v>
      </c>
      <c r="D1473" s="1" t="s">
        <v>2937</v>
      </c>
      <c r="E1473" s="1" t="s">
        <v>2938</v>
      </c>
      <c r="F1473" s="2">
        <v>351</v>
      </c>
      <c r="G1473" s="3">
        <v>48.1</v>
      </c>
      <c r="H1473" s="4" t="str">
        <f>IF(AND(A1473="Yes",C1473="School"),COUNTIFS($A$6:A1473,"Yes",$C$6:C1473,"School"),"")</f>
        <v/>
      </c>
    </row>
    <row r="1474" spans="1:8">
      <c r="A1474" s="13"/>
      <c r="B1474" s="1" t="s">
        <v>2883</v>
      </c>
      <c r="C1474" s="1" t="s">
        <v>24</v>
      </c>
      <c r="D1474" s="1" t="s">
        <v>2939</v>
      </c>
      <c r="E1474" s="1" t="s">
        <v>2940</v>
      </c>
      <c r="F1474" s="2">
        <v>572</v>
      </c>
      <c r="G1474" s="3">
        <v>39.700000000000003</v>
      </c>
      <c r="H1474" s="4" t="str">
        <f>IF(AND(A1474="Yes",C1474="School"),COUNTIFS($A$6:A1474,"Yes",$C$6:C1474,"School"),"")</f>
        <v/>
      </c>
    </row>
    <row r="1475" spans="1:8">
      <c r="A1475" s="13"/>
      <c r="B1475" s="1" t="s">
        <v>2883</v>
      </c>
      <c r="C1475" s="1" t="s">
        <v>24</v>
      </c>
      <c r="D1475" s="1" t="s">
        <v>2941</v>
      </c>
      <c r="E1475" s="1" t="s">
        <v>2942</v>
      </c>
      <c r="F1475" s="2">
        <v>635</v>
      </c>
      <c r="G1475" s="3">
        <v>30.9</v>
      </c>
      <c r="H1475" s="4" t="str">
        <f>IF(AND(A1475="Yes",C1475="School"),COUNTIFS($A$6:A1475,"Yes",$C$6:C1475,"School"),"")</f>
        <v/>
      </c>
    </row>
    <row r="1476" spans="1:8">
      <c r="A1476" s="13"/>
      <c r="B1476" s="1" t="s">
        <v>2883</v>
      </c>
      <c r="C1476" s="1" t="s">
        <v>24</v>
      </c>
      <c r="D1476" s="1" t="s">
        <v>2943</v>
      </c>
      <c r="E1476" s="1" t="s">
        <v>2944</v>
      </c>
      <c r="F1476" s="2">
        <v>788</v>
      </c>
      <c r="G1476" s="3">
        <v>49.1</v>
      </c>
      <c r="H1476" s="4" t="str">
        <f>IF(AND(A1476="Yes",C1476="School"),COUNTIFS($A$6:A1476,"Yes",$C$6:C1476,"School"),"")</f>
        <v/>
      </c>
    </row>
    <row r="1477" spans="1:8">
      <c r="A1477" s="13"/>
      <c r="B1477" s="1" t="s">
        <v>2883</v>
      </c>
      <c r="C1477" s="1" t="s">
        <v>24</v>
      </c>
      <c r="D1477" s="1" t="s">
        <v>2945</v>
      </c>
      <c r="E1477" s="1" t="s">
        <v>2946</v>
      </c>
      <c r="F1477" s="2">
        <v>965</v>
      </c>
      <c r="G1477" s="3">
        <v>38.9</v>
      </c>
      <c r="H1477" s="4" t="str">
        <f>IF(AND(A1477="Yes",C1477="School"),COUNTIFS($A$6:A1477,"Yes",$C$6:C1477,"School"),"")</f>
        <v/>
      </c>
    </row>
    <row r="1478" spans="1:8">
      <c r="A1478" s="13"/>
      <c r="B1478" s="1" t="s">
        <v>2883</v>
      </c>
      <c r="C1478" s="1" t="s">
        <v>24</v>
      </c>
      <c r="D1478" s="1" t="s">
        <v>2947</v>
      </c>
      <c r="E1478" s="1" t="s">
        <v>2948</v>
      </c>
      <c r="F1478" s="2">
        <v>995</v>
      </c>
      <c r="G1478" s="3">
        <v>30.3</v>
      </c>
      <c r="H1478" s="4" t="str">
        <f>IF(AND(A1478="Yes",C1478="School"),COUNTIFS($A$6:A1478,"Yes",$C$6:C1478,"School"),"")</f>
        <v/>
      </c>
    </row>
    <row r="1479" spans="1:8">
      <c r="A1479" s="13"/>
      <c r="B1479" s="1" t="s">
        <v>2883</v>
      </c>
      <c r="C1479" s="1" t="s">
        <v>24</v>
      </c>
      <c r="D1479" s="1" t="s">
        <v>2949</v>
      </c>
      <c r="E1479" s="1" t="s">
        <v>2950</v>
      </c>
      <c r="F1479" s="2">
        <v>712</v>
      </c>
      <c r="G1479" s="3">
        <v>32.299999999999997</v>
      </c>
      <c r="H1479" s="4" t="str">
        <f>IF(AND(A1479="Yes",C1479="School"),COUNTIFS($A$6:A1479,"Yes",$C$6:C1479,"School"),"")</f>
        <v/>
      </c>
    </row>
    <row r="1480" spans="1:8">
      <c r="A1480" s="13"/>
      <c r="B1480" s="1" t="s">
        <v>2883</v>
      </c>
      <c r="C1480" s="1" t="s">
        <v>24</v>
      </c>
      <c r="D1480" s="1" t="s">
        <v>2951</v>
      </c>
      <c r="E1480" s="1" t="s">
        <v>2952</v>
      </c>
      <c r="F1480" s="2">
        <v>915</v>
      </c>
      <c r="G1480" s="3">
        <v>33.4</v>
      </c>
      <c r="H1480" s="4" t="str">
        <f>IF(AND(A1480="Yes",C1480="School"),COUNTIFS($A$6:A1480,"Yes",$C$6:C1480,"School"),"")</f>
        <v/>
      </c>
    </row>
    <row r="1481" spans="1:8">
      <c r="A1481" s="13"/>
      <c r="B1481" s="1" t="s">
        <v>2883</v>
      </c>
      <c r="C1481" s="1" t="s">
        <v>24</v>
      </c>
      <c r="D1481" s="1" t="s">
        <v>2953</v>
      </c>
      <c r="E1481" s="1" t="s">
        <v>2954</v>
      </c>
      <c r="F1481" s="2">
        <v>816</v>
      </c>
      <c r="G1481" s="3">
        <v>60.3</v>
      </c>
      <c r="H1481" s="4" t="str">
        <f>IF(AND(A1481="Yes",C1481="School"),COUNTIFS($A$6:A1481,"Yes",$C$6:C1481,"School"),"")</f>
        <v/>
      </c>
    </row>
    <row r="1482" spans="1:8">
      <c r="A1482" s="13"/>
      <c r="B1482" s="1" t="s">
        <v>2883</v>
      </c>
      <c r="C1482" s="1" t="s">
        <v>24</v>
      </c>
      <c r="D1482" s="1" t="s">
        <v>2955</v>
      </c>
      <c r="E1482" s="1" t="s">
        <v>2956</v>
      </c>
      <c r="F1482" s="2">
        <v>319</v>
      </c>
      <c r="G1482" s="3">
        <v>64.900000000000006</v>
      </c>
      <c r="H1482" s="4" t="str">
        <f>IF(AND(A1482="Yes",C1482="School"),COUNTIFS($A$6:A1482,"Yes",$C$6:C1482,"School"),"")</f>
        <v/>
      </c>
    </row>
    <row r="1483" spans="1:8">
      <c r="A1483" s="13"/>
      <c r="B1483" s="1" t="s">
        <v>2883</v>
      </c>
      <c r="C1483" s="1" t="s">
        <v>24</v>
      </c>
      <c r="D1483" s="1" t="s">
        <v>2957</v>
      </c>
      <c r="E1483" s="1" t="s">
        <v>2958</v>
      </c>
      <c r="F1483" s="2">
        <v>626</v>
      </c>
      <c r="G1483" s="3">
        <v>57.7</v>
      </c>
      <c r="H1483" s="4" t="str">
        <f>IF(AND(A1483="Yes",C1483="School"),COUNTIFS($A$6:A1483,"Yes",$C$6:C1483,"School"),"")</f>
        <v/>
      </c>
    </row>
    <row r="1484" spans="1:8">
      <c r="A1484" s="13"/>
      <c r="B1484" s="1" t="s">
        <v>2883</v>
      </c>
      <c r="C1484" s="1" t="s">
        <v>24</v>
      </c>
      <c r="D1484" s="1" t="s">
        <v>2959</v>
      </c>
      <c r="E1484" s="1" t="s">
        <v>2960</v>
      </c>
      <c r="F1484" s="2">
        <v>1384</v>
      </c>
      <c r="G1484" s="3">
        <v>48.1</v>
      </c>
      <c r="H1484" s="4" t="str">
        <f>IF(AND(A1484="Yes",C1484="School"),COUNTIFS($A$6:A1484,"Yes",$C$6:C1484,"School"),"")</f>
        <v/>
      </c>
    </row>
    <row r="1485" spans="1:8">
      <c r="A1485" s="13"/>
      <c r="B1485" s="1" t="s">
        <v>2883</v>
      </c>
      <c r="C1485" s="1" t="s">
        <v>24</v>
      </c>
      <c r="D1485" s="1" t="s">
        <v>2961</v>
      </c>
      <c r="E1485" s="1" t="s">
        <v>2962</v>
      </c>
      <c r="F1485" s="2">
        <v>1221</v>
      </c>
      <c r="G1485" s="3">
        <v>44.6</v>
      </c>
      <c r="H1485" s="4" t="str">
        <f>IF(AND(A1485="Yes",C1485="School"),COUNTIFS($A$6:A1485,"Yes",$C$6:C1485,"School"),"")</f>
        <v/>
      </c>
    </row>
    <row r="1486" spans="1:8">
      <c r="A1486" s="13"/>
      <c r="B1486" s="1" t="s">
        <v>2883</v>
      </c>
      <c r="C1486" s="1" t="s">
        <v>24</v>
      </c>
      <c r="D1486" s="1" t="s">
        <v>2963</v>
      </c>
      <c r="E1486" s="1" t="s">
        <v>2964</v>
      </c>
      <c r="F1486" s="2">
        <v>458</v>
      </c>
      <c r="G1486" s="3">
        <v>60.5</v>
      </c>
      <c r="H1486" s="4" t="str">
        <f>IF(AND(A1486="Yes",C1486="School"),COUNTIFS($A$6:A1486,"Yes",$C$6:C1486,"School"),"")</f>
        <v/>
      </c>
    </row>
    <row r="1487" spans="1:8">
      <c r="A1487" s="13"/>
      <c r="B1487" s="1" t="s">
        <v>2883</v>
      </c>
      <c r="C1487" s="1" t="s">
        <v>24</v>
      </c>
      <c r="D1487" s="1" t="s">
        <v>2965</v>
      </c>
      <c r="E1487" s="1" t="s">
        <v>2966</v>
      </c>
      <c r="F1487" s="2">
        <v>615</v>
      </c>
      <c r="G1487" s="3">
        <v>36.4</v>
      </c>
      <c r="H1487" s="4" t="str">
        <f>IF(AND(A1487="Yes",C1487="School"),COUNTIFS($A$6:A1487,"Yes",$C$6:C1487,"School"),"")</f>
        <v/>
      </c>
    </row>
    <row r="1488" spans="1:8">
      <c r="A1488" s="13"/>
      <c r="B1488" s="1" t="s">
        <v>2883</v>
      </c>
      <c r="C1488" s="1" t="s">
        <v>24</v>
      </c>
      <c r="D1488" s="1" t="s">
        <v>2967</v>
      </c>
      <c r="E1488" s="1" t="s">
        <v>2968</v>
      </c>
      <c r="F1488" s="2">
        <v>665</v>
      </c>
      <c r="G1488" s="3">
        <v>31.4</v>
      </c>
      <c r="H1488" s="4" t="str">
        <f>IF(AND(A1488="Yes",C1488="School"),COUNTIFS($A$6:A1488,"Yes",$C$6:C1488,"School"),"")</f>
        <v/>
      </c>
    </row>
    <row r="1489" spans="1:8">
      <c r="A1489" s="13"/>
      <c r="B1489" s="1" t="s">
        <v>2883</v>
      </c>
      <c r="C1489" s="1" t="s">
        <v>24</v>
      </c>
      <c r="D1489" s="1" t="s">
        <v>2969</v>
      </c>
      <c r="E1489" s="1" t="s">
        <v>2970</v>
      </c>
      <c r="F1489" s="2">
        <v>882</v>
      </c>
      <c r="G1489" s="3">
        <v>33.4</v>
      </c>
      <c r="H1489" s="4" t="str">
        <f>IF(AND(A1489="Yes",C1489="School"),COUNTIFS($A$6:A1489,"Yes",$C$6:C1489,"School"),"")</f>
        <v/>
      </c>
    </row>
    <row r="1490" spans="1:8">
      <c r="A1490" s="13"/>
      <c r="B1490" s="1" t="s">
        <v>2883</v>
      </c>
      <c r="C1490" s="1" t="s">
        <v>24</v>
      </c>
      <c r="D1490" s="1" t="s">
        <v>2971</v>
      </c>
      <c r="E1490" s="1" t="s">
        <v>2972</v>
      </c>
      <c r="F1490" s="2">
        <v>277</v>
      </c>
      <c r="G1490" s="3">
        <v>27.4</v>
      </c>
      <c r="H1490" s="4" t="str">
        <f>IF(AND(A1490="Yes",C1490="School"),COUNTIFS($A$6:A1490,"Yes",$C$6:C1490,"School"),"")</f>
        <v/>
      </c>
    </row>
    <row r="1491" spans="1:8">
      <c r="A1491" s="13"/>
      <c r="B1491" s="1" t="s">
        <v>2883</v>
      </c>
      <c r="C1491" s="1" t="s">
        <v>24</v>
      </c>
      <c r="D1491" s="1" t="s">
        <v>2973</v>
      </c>
      <c r="E1491" s="1" t="s">
        <v>2974</v>
      </c>
      <c r="F1491" s="2">
        <v>715</v>
      </c>
      <c r="G1491" s="3">
        <v>42.5</v>
      </c>
      <c r="H1491" s="4" t="str">
        <f>IF(AND(A1491="Yes",C1491="School"),COUNTIFS($A$6:A1491,"Yes",$C$6:C1491,"School"),"")</f>
        <v/>
      </c>
    </row>
    <row r="1492" spans="1:8">
      <c r="A1492" s="13"/>
      <c r="B1492" s="1" t="s">
        <v>2883</v>
      </c>
      <c r="C1492" s="1" t="s">
        <v>24</v>
      </c>
      <c r="D1492" s="1" t="s">
        <v>2975</v>
      </c>
      <c r="E1492" s="1" t="s">
        <v>2976</v>
      </c>
      <c r="F1492" s="2">
        <v>1470</v>
      </c>
      <c r="G1492" s="3">
        <v>29</v>
      </c>
      <c r="H1492" s="4" t="str">
        <f>IF(AND(A1492="Yes",C1492="School"),COUNTIFS($A$6:A1492,"Yes",$C$6:C1492,"School"),"")</f>
        <v/>
      </c>
    </row>
    <row r="1493" spans="1:8">
      <c r="A1493" s="13"/>
      <c r="B1493" s="1" t="s">
        <v>2883</v>
      </c>
      <c r="C1493" s="1" t="s">
        <v>24</v>
      </c>
      <c r="D1493" s="1" t="s">
        <v>2977</v>
      </c>
      <c r="E1493" s="1" t="s">
        <v>2978</v>
      </c>
      <c r="F1493" s="2">
        <v>431</v>
      </c>
      <c r="G1493" s="3">
        <v>66.599999999999994</v>
      </c>
      <c r="H1493" s="4" t="str">
        <f>IF(AND(A1493="Yes",C1493="School"),COUNTIFS($A$6:A1493,"Yes",$C$6:C1493,"School"),"")</f>
        <v/>
      </c>
    </row>
    <row r="1494" spans="1:8">
      <c r="A1494" s="13"/>
      <c r="B1494" s="1" t="s">
        <v>2883</v>
      </c>
      <c r="C1494" s="1" t="s">
        <v>24</v>
      </c>
      <c r="D1494" s="1" t="s">
        <v>2979</v>
      </c>
      <c r="E1494" s="1" t="s">
        <v>2980</v>
      </c>
      <c r="F1494" s="2">
        <v>783</v>
      </c>
      <c r="G1494" s="3">
        <v>43</v>
      </c>
      <c r="H1494" s="4" t="str">
        <f>IF(AND(A1494="Yes",C1494="School"),COUNTIFS($A$6:A1494,"Yes",$C$6:C1494,"School"),"")</f>
        <v/>
      </c>
    </row>
    <row r="1495" spans="1:8">
      <c r="A1495" s="13"/>
      <c r="B1495" s="1" t="s">
        <v>2883</v>
      </c>
      <c r="C1495" s="1" t="s">
        <v>24</v>
      </c>
      <c r="D1495" s="1" t="s">
        <v>2981</v>
      </c>
      <c r="E1495" s="1" t="s">
        <v>2982</v>
      </c>
      <c r="F1495" s="2">
        <v>574</v>
      </c>
      <c r="G1495" s="3">
        <v>55.7</v>
      </c>
      <c r="H1495" s="4" t="str">
        <f>IF(AND(A1495="Yes",C1495="School"),COUNTIFS($A$6:A1495,"Yes",$C$6:C1495,"School"),"")</f>
        <v/>
      </c>
    </row>
    <row r="1496" spans="1:8">
      <c r="A1496" s="13"/>
      <c r="B1496" s="1" t="s">
        <v>2983</v>
      </c>
      <c r="C1496" s="1" t="s">
        <v>40</v>
      </c>
      <c r="D1496" s="1" t="s">
        <v>41</v>
      </c>
      <c r="E1496" s="1" t="s">
        <v>2984</v>
      </c>
      <c r="F1496" s="2">
        <v>949</v>
      </c>
      <c r="G1496" s="3">
        <v>67.7</v>
      </c>
      <c r="H1496" s="4" t="str">
        <f>IF(AND(A1496="Yes",C1496="School"),COUNTIFS($A$6:A1496,"Yes",$C$6:C1496,"School"),"")</f>
        <v/>
      </c>
    </row>
    <row r="1497" spans="1:8">
      <c r="A1497" s="13"/>
      <c r="B1497" s="1" t="s">
        <v>2983</v>
      </c>
      <c r="C1497" s="1" t="s">
        <v>24</v>
      </c>
      <c r="D1497" s="1" t="s">
        <v>2985</v>
      </c>
      <c r="E1497" s="1" t="s">
        <v>2986</v>
      </c>
      <c r="F1497" s="2">
        <v>118</v>
      </c>
      <c r="G1497" s="3">
        <v>61.9</v>
      </c>
      <c r="H1497" s="4" t="str">
        <f>IF(AND(A1497="Yes",C1497="School"),COUNTIFS($A$6:A1497,"Yes",$C$6:C1497,"School"),"")</f>
        <v/>
      </c>
    </row>
    <row r="1498" spans="1:8">
      <c r="A1498" s="13"/>
      <c r="B1498" s="1" t="s">
        <v>2983</v>
      </c>
      <c r="C1498" s="1" t="s">
        <v>24</v>
      </c>
      <c r="D1498" s="1" t="s">
        <v>2987</v>
      </c>
      <c r="E1498" s="1" t="s">
        <v>2988</v>
      </c>
      <c r="F1498" s="2">
        <v>464</v>
      </c>
      <c r="G1498" s="3">
        <v>64.2</v>
      </c>
      <c r="H1498" s="4" t="str">
        <f>IF(AND(A1498="Yes",C1498="School"),COUNTIFS($A$6:A1498,"Yes",$C$6:C1498,"School"),"")</f>
        <v/>
      </c>
    </row>
    <row r="1499" spans="1:8">
      <c r="A1499" s="13"/>
      <c r="B1499" s="1" t="s">
        <v>2983</v>
      </c>
      <c r="C1499" s="1" t="s">
        <v>24</v>
      </c>
      <c r="D1499" s="1" t="s">
        <v>2989</v>
      </c>
      <c r="E1499" s="1" t="s">
        <v>2990</v>
      </c>
      <c r="F1499" s="2">
        <v>116</v>
      </c>
      <c r="G1499" s="3">
        <v>75</v>
      </c>
      <c r="H1499" s="4" t="str">
        <f>IF(AND(A1499="Yes",C1499="School"),COUNTIFS($A$6:A1499,"Yes",$C$6:C1499,"School"),"")</f>
        <v/>
      </c>
    </row>
    <row r="1500" spans="1:8">
      <c r="A1500" s="13"/>
      <c r="B1500" s="1" t="s">
        <v>2983</v>
      </c>
      <c r="C1500" s="1" t="s">
        <v>24</v>
      </c>
      <c r="D1500" s="1" t="s">
        <v>2991</v>
      </c>
      <c r="E1500" s="1" t="s">
        <v>2992</v>
      </c>
      <c r="F1500" s="2">
        <v>112</v>
      </c>
      <c r="G1500" s="3">
        <v>72.3</v>
      </c>
      <c r="H1500" s="4" t="str">
        <f>IF(AND(A1500="Yes",C1500="School"),COUNTIFS($A$6:A1500,"Yes",$C$6:C1500,"School"),"")</f>
        <v/>
      </c>
    </row>
    <row r="1501" spans="1:8">
      <c r="A1501" s="13"/>
      <c r="B1501" s="1" t="s">
        <v>2983</v>
      </c>
      <c r="C1501" s="1" t="s">
        <v>24</v>
      </c>
      <c r="D1501" s="1" t="s">
        <v>2993</v>
      </c>
      <c r="E1501" s="1" t="s">
        <v>2994</v>
      </c>
      <c r="F1501" s="2">
        <v>139</v>
      </c>
      <c r="G1501" s="3">
        <v>74.099999999999994</v>
      </c>
      <c r="H1501" s="4" t="str">
        <f>IF(AND(A1501="Yes",C1501="School"),COUNTIFS($A$6:A1501,"Yes",$C$6:C1501,"School"),"")</f>
        <v/>
      </c>
    </row>
    <row r="1502" spans="1:8">
      <c r="A1502" s="13"/>
      <c r="B1502" s="1" t="s">
        <v>2995</v>
      </c>
      <c r="C1502" s="1" t="s">
        <v>40</v>
      </c>
      <c r="D1502" s="1" t="s">
        <v>41</v>
      </c>
      <c r="E1502" s="1" t="s">
        <v>2996</v>
      </c>
      <c r="F1502" s="2">
        <v>5141</v>
      </c>
      <c r="G1502" s="3">
        <v>60.6</v>
      </c>
      <c r="H1502" s="4" t="str">
        <f>IF(AND(A1502="Yes",C1502="School"),COUNTIFS($A$6:A1502,"Yes",$C$6:C1502,"School"),"")</f>
        <v/>
      </c>
    </row>
    <row r="1503" spans="1:8">
      <c r="A1503" s="13"/>
      <c r="B1503" s="1" t="s">
        <v>2995</v>
      </c>
      <c r="C1503" s="1" t="s">
        <v>24</v>
      </c>
      <c r="D1503" s="1" t="s">
        <v>2997</v>
      </c>
      <c r="E1503" s="1" t="s">
        <v>2998</v>
      </c>
      <c r="F1503" s="2">
        <v>1596</v>
      </c>
      <c r="G1503" s="3">
        <v>54.3</v>
      </c>
      <c r="H1503" s="4" t="str">
        <f>IF(AND(A1503="Yes",C1503="School"),COUNTIFS($A$6:A1503,"Yes",$C$6:C1503,"School"),"")</f>
        <v/>
      </c>
    </row>
    <row r="1504" spans="1:8">
      <c r="A1504" s="13"/>
      <c r="B1504" s="1" t="s">
        <v>2995</v>
      </c>
      <c r="C1504" s="1" t="s">
        <v>24</v>
      </c>
      <c r="D1504" s="1" t="s">
        <v>2999</v>
      </c>
      <c r="E1504" s="1" t="s">
        <v>3000</v>
      </c>
      <c r="F1504" s="2">
        <v>443</v>
      </c>
      <c r="G1504" s="3">
        <v>65.5</v>
      </c>
      <c r="H1504" s="4" t="str">
        <f>IF(AND(A1504="Yes",C1504="School"),COUNTIFS($A$6:A1504,"Yes",$C$6:C1504,"School"),"")</f>
        <v/>
      </c>
    </row>
    <row r="1505" spans="1:8">
      <c r="A1505" s="13"/>
      <c r="B1505" s="1" t="s">
        <v>2995</v>
      </c>
      <c r="C1505" s="1" t="s">
        <v>24</v>
      </c>
      <c r="D1505" s="1" t="s">
        <v>3001</v>
      </c>
      <c r="E1505" s="1" t="s">
        <v>3002</v>
      </c>
      <c r="F1505" s="2">
        <v>401</v>
      </c>
      <c r="G1505" s="3">
        <v>64.3</v>
      </c>
      <c r="H1505" s="4" t="str">
        <f>IF(AND(A1505="Yes",C1505="School"),COUNTIFS($A$6:A1505,"Yes",$C$6:C1505,"School"),"")</f>
        <v/>
      </c>
    </row>
    <row r="1506" spans="1:8">
      <c r="A1506" s="13"/>
      <c r="B1506" s="1" t="s">
        <v>2995</v>
      </c>
      <c r="C1506" s="1" t="s">
        <v>24</v>
      </c>
      <c r="D1506" s="1" t="s">
        <v>3003</v>
      </c>
      <c r="E1506" s="1" t="s">
        <v>3004</v>
      </c>
      <c r="F1506" s="2">
        <v>495</v>
      </c>
      <c r="G1506" s="3">
        <v>69.5</v>
      </c>
      <c r="H1506" s="4" t="str">
        <f>IF(AND(A1506="Yes",C1506="School"),COUNTIFS($A$6:A1506,"Yes",$C$6:C1506,"School"),"")</f>
        <v/>
      </c>
    </row>
    <row r="1507" spans="1:8">
      <c r="A1507" s="13"/>
      <c r="B1507" s="1" t="s">
        <v>2995</v>
      </c>
      <c r="C1507" s="1" t="s">
        <v>24</v>
      </c>
      <c r="D1507" s="1" t="s">
        <v>3005</v>
      </c>
      <c r="E1507" s="1" t="s">
        <v>3006</v>
      </c>
      <c r="F1507" s="2">
        <v>508</v>
      </c>
      <c r="G1507" s="3">
        <v>60.6</v>
      </c>
      <c r="H1507" s="4" t="str">
        <f>IF(AND(A1507="Yes",C1507="School"),COUNTIFS($A$6:A1507,"Yes",$C$6:C1507,"School"),"")</f>
        <v/>
      </c>
    </row>
    <row r="1508" spans="1:8">
      <c r="A1508" s="13"/>
      <c r="B1508" s="1" t="s">
        <v>2995</v>
      </c>
      <c r="C1508" s="1" t="s">
        <v>24</v>
      </c>
      <c r="D1508" s="1" t="s">
        <v>3007</v>
      </c>
      <c r="E1508" s="1" t="s">
        <v>3008</v>
      </c>
      <c r="F1508" s="2">
        <v>372</v>
      </c>
      <c r="G1508" s="3">
        <v>61</v>
      </c>
      <c r="H1508" s="4" t="str">
        <f>IF(AND(A1508="Yes",C1508="School"),COUNTIFS($A$6:A1508,"Yes",$C$6:C1508,"School"),"")</f>
        <v/>
      </c>
    </row>
    <row r="1509" spans="1:8">
      <c r="A1509" s="13"/>
      <c r="B1509" s="1" t="s">
        <v>2995</v>
      </c>
      <c r="C1509" s="1" t="s">
        <v>24</v>
      </c>
      <c r="D1509" s="1" t="s">
        <v>3009</v>
      </c>
      <c r="E1509" s="1" t="s">
        <v>3010</v>
      </c>
      <c r="F1509" s="2">
        <v>773</v>
      </c>
      <c r="G1509" s="3">
        <v>59.2</v>
      </c>
      <c r="H1509" s="4" t="str">
        <f>IF(AND(A1509="Yes",C1509="School"),COUNTIFS($A$6:A1509,"Yes",$C$6:C1509,"School"),"")</f>
        <v/>
      </c>
    </row>
    <row r="1510" spans="1:8">
      <c r="A1510" s="13"/>
      <c r="B1510" s="1" t="s">
        <v>2995</v>
      </c>
      <c r="C1510" s="1" t="s">
        <v>24</v>
      </c>
      <c r="D1510" s="1" t="s">
        <v>3011</v>
      </c>
      <c r="E1510" s="1" t="s">
        <v>3012</v>
      </c>
      <c r="F1510" s="2">
        <v>257</v>
      </c>
      <c r="G1510" s="3">
        <v>59.9</v>
      </c>
      <c r="H1510" s="4" t="str">
        <f>IF(AND(A1510="Yes",C1510="School"),COUNTIFS($A$6:A1510,"Yes",$C$6:C1510,"School"),"")</f>
        <v/>
      </c>
    </row>
    <row r="1511" spans="1:8">
      <c r="A1511" s="13"/>
      <c r="B1511" s="1" t="s">
        <v>2995</v>
      </c>
      <c r="C1511" s="1" t="s">
        <v>24</v>
      </c>
      <c r="D1511" s="1" t="s">
        <v>3013</v>
      </c>
      <c r="E1511" s="1" t="s">
        <v>3014</v>
      </c>
      <c r="F1511" s="2">
        <v>296</v>
      </c>
      <c r="G1511" s="3">
        <v>70.3</v>
      </c>
      <c r="H1511" s="4" t="str">
        <f>IF(AND(A1511="Yes",C1511="School"),COUNTIFS($A$6:A1511,"Yes",$C$6:C1511,"School"),"")</f>
        <v/>
      </c>
    </row>
    <row r="1512" spans="1:8">
      <c r="A1512" s="13"/>
      <c r="B1512" s="1" t="s">
        <v>3015</v>
      </c>
      <c r="C1512" s="1" t="s">
        <v>24</v>
      </c>
      <c r="D1512" s="1" t="s">
        <v>3015</v>
      </c>
      <c r="E1512" s="1" t="s">
        <v>3016</v>
      </c>
      <c r="F1512" s="2">
        <v>359</v>
      </c>
      <c r="G1512" s="3">
        <v>53.8</v>
      </c>
      <c r="H1512" s="4" t="str">
        <f>IF(AND(A1512="Yes",C1512="School"),COUNTIFS($A$6:A1512,"Yes",$C$6:C1512,"School"),"")</f>
        <v/>
      </c>
    </row>
    <row r="1513" spans="1:8">
      <c r="A1513" s="13"/>
      <c r="B1513" s="1" t="s">
        <v>3017</v>
      </c>
      <c r="C1513" s="1" t="s">
        <v>24</v>
      </c>
      <c r="D1513" s="1" t="s">
        <v>3017</v>
      </c>
      <c r="E1513" s="1" t="s">
        <v>3018</v>
      </c>
      <c r="F1513" s="2">
        <v>758</v>
      </c>
      <c r="G1513" s="3">
        <v>77.3</v>
      </c>
      <c r="H1513" s="4" t="str">
        <f>IF(AND(A1513="Yes",C1513="School"),COUNTIFS($A$6:A1513,"Yes",$C$6:C1513,"School"),"")</f>
        <v/>
      </c>
    </row>
    <row r="1514" spans="1:8">
      <c r="A1514" s="13"/>
      <c r="B1514" s="1" t="s">
        <v>3019</v>
      </c>
      <c r="C1514" s="1" t="s">
        <v>24</v>
      </c>
      <c r="D1514" s="1" t="s">
        <v>3019</v>
      </c>
      <c r="E1514" s="1" t="s">
        <v>3020</v>
      </c>
      <c r="F1514" s="2">
        <v>407</v>
      </c>
      <c r="G1514" s="3">
        <v>65.599999999999994</v>
      </c>
      <c r="H1514" s="4" t="str">
        <f>IF(AND(A1514="Yes",C1514="School"),COUNTIFS($A$6:A1514,"Yes",$C$6:C1514,"School"),"")</f>
        <v/>
      </c>
    </row>
    <row r="1515" spans="1:8">
      <c r="A1515" s="13"/>
      <c r="B1515" s="1" t="s">
        <v>3021</v>
      </c>
      <c r="C1515" s="1" t="s">
        <v>24</v>
      </c>
      <c r="D1515" s="1" t="s">
        <v>3021</v>
      </c>
      <c r="E1515" s="1" t="s">
        <v>3022</v>
      </c>
      <c r="F1515" s="2">
        <v>1528</v>
      </c>
      <c r="G1515" s="3">
        <v>72.8</v>
      </c>
      <c r="H1515" s="4" t="str">
        <f>IF(AND(A1515="Yes",C1515="School"),COUNTIFS($A$6:A1515,"Yes",$C$6:C1515,"School"),"")</f>
        <v/>
      </c>
    </row>
    <row r="1516" spans="1:8">
      <c r="A1516" s="13"/>
      <c r="B1516" s="1" t="s">
        <v>3023</v>
      </c>
      <c r="C1516" s="1" t="s">
        <v>24</v>
      </c>
      <c r="D1516" s="1" t="s">
        <v>3023</v>
      </c>
      <c r="E1516" s="1" t="s">
        <v>3024</v>
      </c>
      <c r="F1516" s="2">
        <v>398</v>
      </c>
      <c r="G1516" s="3">
        <v>65.3</v>
      </c>
      <c r="H1516" s="4" t="str">
        <f>IF(AND(A1516="Yes",C1516="School"),COUNTIFS($A$6:A1516,"Yes",$C$6:C1516,"School"),"")</f>
        <v/>
      </c>
    </row>
    <row r="1517" spans="1:8">
      <c r="A1517" s="13"/>
      <c r="B1517" s="1" t="s">
        <v>3025</v>
      </c>
      <c r="C1517" s="1" t="s">
        <v>24</v>
      </c>
      <c r="D1517" s="1" t="s">
        <v>3025</v>
      </c>
      <c r="E1517" s="1" t="s">
        <v>3026</v>
      </c>
      <c r="F1517" s="2">
        <v>2202</v>
      </c>
      <c r="G1517" s="3">
        <v>7.4</v>
      </c>
      <c r="H1517" s="4" t="str">
        <f>IF(AND(A1517="Yes",C1517="School"),COUNTIFS($A$6:A1517,"Yes",$C$6:C1517,"School"),"")</f>
        <v/>
      </c>
    </row>
    <row r="1518" spans="1:8">
      <c r="A1518" s="13"/>
      <c r="B1518" s="1" t="s">
        <v>3027</v>
      </c>
      <c r="C1518" s="1" t="s">
        <v>24</v>
      </c>
      <c r="D1518" s="1" t="s">
        <v>3027</v>
      </c>
      <c r="E1518" s="1" t="s">
        <v>3028</v>
      </c>
      <c r="F1518" s="2">
        <v>109</v>
      </c>
      <c r="G1518" s="3">
        <v>59.6</v>
      </c>
      <c r="H1518" s="4" t="str">
        <f>IF(AND(A1518="Yes",C1518="School"),COUNTIFS($A$6:A1518,"Yes",$C$6:C1518,"School"),"")</f>
        <v/>
      </c>
    </row>
    <row r="1519" spans="1:8">
      <c r="A1519" s="13"/>
      <c r="B1519" s="1" t="s">
        <v>3029</v>
      </c>
      <c r="C1519" s="1" t="s">
        <v>24</v>
      </c>
      <c r="D1519" s="1" t="s">
        <v>3029</v>
      </c>
      <c r="E1519" s="1" t="s">
        <v>3030</v>
      </c>
      <c r="F1519" s="2">
        <v>1260</v>
      </c>
      <c r="G1519" s="3">
        <v>34.9</v>
      </c>
      <c r="H1519" s="4" t="str">
        <f>IF(AND(A1519="Yes",C1519="School"),COUNTIFS($A$6:A1519,"Yes",$C$6:C1519,"School"),"")</f>
        <v/>
      </c>
    </row>
    <row r="1520" spans="1:8">
      <c r="A1520" s="13"/>
      <c r="B1520" s="1" t="s">
        <v>3031</v>
      </c>
      <c r="C1520" s="1" t="s">
        <v>40</v>
      </c>
      <c r="D1520" s="1" t="s">
        <v>41</v>
      </c>
      <c r="E1520" s="1" t="s">
        <v>3032</v>
      </c>
      <c r="F1520" s="2">
        <v>9147</v>
      </c>
      <c r="G1520" s="3">
        <v>49.6</v>
      </c>
      <c r="H1520" s="4" t="str">
        <f>IF(AND(A1520="Yes",C1520="School"),COUNTIFS($A$6:A1520,"Yes",$C$6:C1520,"School"),"")</f>
        <v/>
      </c>
    </row>
    <row r="1521" spans="1:8">
      <c r="A1521" s="13"/>
      <c r="B1521" s="1" t="s">
        <v>3031</v>
      </c>
      <c r="C1521" s="1" t="s">
        <v>24</v>
      </c>
      <c r="D1521" s="1" t="s">
        <v>3033</v>
      </c>
      <c r="E1521" s="1" t="s">
        <v>3034</v>
      </c>
      <c r="F1521" s="2">
        <v>61</v>
      </c>
      <c r="G1521" s="3">
        <v>73.8</v>
      </c>
      <c r="H1521" s="4" t="str">
        <f>IF(AND(A1521="Yes",C1521="School"),COUNTIFS($A$6:A1521,"Yes",$C$6:C1521,"School"),"")</f>
        <v/>
      </c>
    </row>
    <row r="1522" spans="1:8">
      <c r="A1522" s="13"/>
      <c r="B1522" s="1" t="s">
        <v>3031</v>
      </c>
      <c r="C1522" s="1" t="s">
        <v>24</v>
      </c>
      <c r="D1522" s="1" t="s">
        <v>3035</v>
      </c>
      <c r="E1522" s="1" t="s">
        <v>3036</v>
      </c>
      <c r="F1522" s="2">
        <v>474</v>
      </c>
      <c r="G1522" s="3">
        <v>58.4</v>
      </c>
      <c r="H1522" s="4" t="str">
        <f>IF(AND(A1522="Yes",C1522="School"),COUNTIFS($A$6:A1522,"Yes",$C$6:C1522,"School"),"")</f>
        <v/>
      </c>
    </row>
    <row r="1523" spans="1:8">
      <c r="A1523" s="13"/>
      <c r="B1523" s="1" t="s">
        <v>3031</v>
      </c>
      <c r="C1523" s="1" t="s">
        <v>24</v>
      </c>
      <c r="D1523" s="1" t="s">
        <v>3037</v>
      </c>
      <c r="E1523" s="1" t="s">
        <v>3038</v>
      </c>
      <c r="F1523" s="2">
        <v>491</v>
      </c>
      <c r="G1523" s="3">
        <v>43</v>
      </c>
      <c r="H1523" s="4" t="str">
        <f>IF(AND(A1523="Yes",C1523="School"),COUNTIFS($A$6:A1523,"Yes",$C$6:C1523,"School"),"")</f>
        <v/>
      </c>
    </row>
    <row r="1524" spans="1:8">
      <c r="A1524" s="13"/>
      <c r="B1524" s="1" t="s">
        <v>3031</v>
      </c>
      <c r="C1524" s="1" t="s">
        <v>24</v>
      </c>
      <c r="D1524" s="1" t="s">
        <v>3039</v>
      </c>
      <c r="E1524" s="1" t="s">
        <v>3040</v>
      </c>
      <c r="F1524" s="2">
        <v>574</v>
      </c>
      <c r="G1524" s="3">
        <v>53.5</v>
      </c>
      <c r="H1524" s="4" t="str">
        <f>IF(AND(A1524="Yes",C1524="School"),COUNTIFS($A$6:A1524,"Yes",$C$6:C1524,"School"),"")</f>
        <v/>
      </c>
    </row>
    <row r="1525" spans="1:8">
      <c r="A1525" s="13"/>
      <c r="B1525" s="1" t="s">
        <v>3031</v>
      </c>
      <c r="C1525" s="1" t="s">
        <v>24</v>
      </c>
      <c r="D1525" s="1" t="s">
        <v>3041</v>
      </c>
      <c r="E1525" s="1" t="s">
        <v>3042</v>
      </c>
      <c r="F1525" s="2">
        <v>492</v>
      </c>
      <c r="G1525" s="3">
        <v>53.3</v>
      </c>
      <c r="H1525" s="4" t="str">
        <f>IF(AND(A1525="Yes",C1525="School"),COUNTIFS($A$6:A1525,"Yes",$C$6:C1525,"School"),"")</f>
        <v/>
      </c>
    </row>
    <row r="1526" spans="1:8">
      <c r="A1526" s="13"/>
      <c r="B1526" s="1" t="s">
        <v>3031</v>
      </c>
      <c r="C1526" s="1" t="s">
        <v>24</v>
      </c>
      <c r="D1526" s="1" t="s">
        <v>3043</v>
      </c>
      <c r="E1526" s="1" t="s">
        <v>3044</v>
      </c>
      <c r="F1526" s="2">
        <v>159</v>
      </c>
      <c r="G1526" s="3">
        <v>60.4</v>
      </c>
      <c r="H1526" s="4" t="str">
        <f>IF(AND(A1526="Yes",C1526="School"),COUNTIFS($A$6:A1526,"Yes",$C$6:C1526,"School"),"")</f>
        <v/>
      </c>
    </row>
    <row r="1527" spans="1:8">
      <c r="A1527" s="13"/>
      <c r="B1527" s="1" t="s">
        <v>3031</v>
      </c>
      <c r="C1527" s="1" t="s">
        <v>24</v>
      </c>
      <c r="D1527" s="1" t="s">
        <v>3045</v>
      </c>
      <c r="E1527" s="1" t="s">
        <v>3046</v>
      </c>
      <c r="F1527" s="2">
        <v>595</v>
      </c>
      <c r="G1527" s="3">
        <v>56.5</v>
      </c>
      <c r="H1527" s="4" t="str">
        <f>IF(AND(A1527="Yes",C1527="School"),COUNTIFS($A$6:A1527,"Yes",$C$6:C1527,"School"),"")</f>
        <v/>
      </c>
    </row>
    <row r="1528" spans="1:8">
      <c r="A1528" s="13"/>
      <c r="B1528" s="1" t="s">
        <v>3031</v>
      </c>
      <c r="C1528" s="1" t="s">
        <v>24</v>
      </c>
      <c r="D1528" s="1" t="s">
        <v>3047</v>
      </c>
      <c r="E1528" s="1" t="s">
        <v>3048</v>
      </c>
      <c r="F1528" s="2">
        <v>619</v>
      </c>
      <c r="G1528" s="3">
        <v>51.9</v>
      </c>
      <c r="H1528" s="4" t="str">
        <f>IF(AND(A1528="Yes",C1528="School"),COUNTIFS($A$6:A1528,"Yes",$C$6:C1528,"School"),"")</f>
        <v/>
      </c>
    </row>
    <row r="1529" spans="1:8">
      <c r="A1529" s="13"/>
      <c r="B1529" s="1" t="s">
        <v>3031</v>
      </c>
      <c r="C1529" s="1" t="s">
        <v>24</v>
      </c>
      <c r="D1529" s="1" t="s">
        <v>3049</v>
      </c>
      <c r="E1529" s="1" t="s">
        <v>3050</v>
      </c>
      <c r="F1529" s="2">
        <v>452</v>
      </c>
      <c r="G1529" s="3">
        <v>55.1</v>
      </c>
      <c r="H1529" s="4" t="str">
        <f>IF(AND(A1529="Yes",C1529="School"),COUNTIFS($A$6:A1529,"Yes",$C$6:C1529,"School"),"")</f>
        <v/>
      </c>
    </row>
    <row r="1530" spans="1:8">
      <c r="A1530" s="13"/>
      <c r="B1530" s="1" t="s">
        <v>3031</v>
      </c>
      <c r="C1530" s="1" t="s">
        <v>24</v>
      </c>
      <c r="D1530" s="1" t="s">
        <v>3051</v>
      </c>
      <c r="E1530" s="1" t="s">
        <v>3052</v>
      </c>
      <c r="F1530" s="2">
        <v>1383</v>
      </c>
      <c r="G1530" s="3">
        <v>45.8</v>
      </c>
      <c r="H1530" s="4" t="str">
        <f>IF(AND(A1530="Yes",C1530="School"),COUNTIFS($A$6:A1530,"Yes",$C$6:C1530,"School"),"")</f>
        <v/>
      </c>
    </row>
    <row r="1531" spans="1:8">
      <c r="A1531" s="13"/>
      <c r="B1531" s="1" t="s">
        <v>3031</v>
      </c>
      <c r="C1531" s="1" t="s">
        <v>24</v>
      </c>
      <c r="D1531" s="1" t="s">
        <v>3053</v>
      </c>
      <c r="E1531" s="1" t="s">
        <v>3054</v>
      </c>
      <c r="F1531" s="2">
        <v>265</v>
      </c>
      <c r="G1531" s="3">
        <v>36.200000000000003</v>
      </c>
      <c r="H1531" s="4" t="str">
        <f>IF(AND(A1531="Yes",C1531="School"),COUNTIFS($A$6:A1531,"Yes",$C$6:C1531,"School"),"")</f>
        <v/>
      </c>
    </row>
    <row r="1532" spans="1:8">
      <c r="A1532" s="13"/>
      <c r="B1532" s="1" t="s">
        <v>3031</v>
      </c>
      <c r="C1532" s="1" t="s">
        <v>24</v>
      </c>
      <c r="D1532" s="1" t="s">
        <v>3055</v>
      </c>
      <c r="E1532" s="1" t="s">
        <v>3056</v>
      </c>
      <c r="F1532" s="2">
        <v>828</v>
      </c>
      <c r="G1532" s="3">
        <v>50.1</v>
      </c>
      <c r="H1532" s="4" t="str">
        <f>IF(AND(A1532="Yes",C1532="School"),COUNTIFS($A$6:A1532,"Yes",$C$6:C1532,"School"),"")</f>
        <v/>
      </c>
    </row>
    <row r="1533" spans="1:8">
      <c r="A1533" s="13"/>
      <c r="B1533" s="1" t="s">
        <v>3031</v>
      </c>
      <c r="C1533" s="1" t="s">
        <v>24</v>
      </c>
      <c r="D1533" s="1" t="s">
        <v>3057</v>
      </c>
      <c r="E1533" s="1" t="s">
        <v>3058</v>
      </c>
      <c r="F1533" s="2">
        <v>1148</v>
      </c>
      <c r="G1533" s="3">
        <v>46.2</v>
      </c>
      <c r="H1533" s="4" t="str">
        <f>IF(AND(A1533="Yes",C1533="School"),COUNTIFS($A$6:A1533,"Yes",$C$6:C1533,"School"),"")</f>
        <v/>
      </c>
    </row>
    <row r="1534" spans="1:8">
      <c r="A1534" s="13"/>
      <c r="B1534" s="1" t="s">
        <v>3031</v>
      </c>
      <c r="C1534" s="1" t="s">
        <v>24</v>
      </c>
      <c r="D1534" s="1" t="s">
        <v>3059</v>
      </c>
      <c r="E1534" s="1" t="s">
        <v>3060</v>
      </c>
      <c r="F1534" s="2">
        <v>544</v>
      </c>
      <c r="G1534" s="3">
        <v>27.8</v>
      </c>
      <c r="H1534" s="4" t="str">
        <f>IF(AND(A1534="Yes",C1534="School"),COUNTIFS($A$6:A1534,"Yes",$C$6:C1534,"School"),"")</f>
        <v/>
      </c>
    </row>
    <row r="1535" spans="1:8">
      <c r="A1535" s="13"/>
      <c r="B1535" s="1" t="s">
        <v>3031</v>
      </c>
      <c r="C1535" s="1" t="s">
        <v>24</v>
      </c>
      <c r="D1535" s="1" t="s">
        <v>3061</v>
      </c>
      <c r="E1535" s="1" t="s">
        <v>3062</v>
      </c>
      <c r="F1535" s="2">
        <v>547</v>
      </c>
      <c r="G1535" s="3">
        <v>64.7</v>
      </c>
      <c r="H1535" s="4" t="str">
        <f>IF(AND(A1535="Yes",C1535="School"),COUNTIFS($A$6:A1535,"Yes",$C$6:C1535,"School"),"")</f>
        <v/>
      </c>
    </row>
    <row r="1536" spans="1:8">
      <c r="A1536" s="13"/>
      <c r="B1536" s="1" t="s">
        <v>3031</v>
      </c>
      <c r="C1536" s="1" t="s">
        <v>24</v>
      </c>
      <c r="D1536" s="1" t="s">
        <v>3063</v>
      </c>
      <c r="E1536" s="1" t="s">
        <v>3064</v>
      </c>
      <c r="F1536" s="2">
        <v>515</v>
      </c>
      <c r="G1536" s="3">
        <v>49.9</v>
      </c>
      <c r="H1536" s="4" t="str">
        <f>IF(AND(A1536="Yes",C1536="School"),COUNTIFS($A$6:A1536,"Yes",$C$6:C1536,"School"),"")</f>
        <v/>
      </c>
    </row>
    <row r="1537" spans="1:8">
      <c r="A1537" s="13"/>
      <c r="B1537" s="1" t="s">
        <v>3065</v>
      </c>
      <c r="C1537" s="1" t="s">
        <v>24</v>
      </c>
      <c r="D1537" s="1" t="s">
        <v>3065</v>
      </c>
      <c r="E1537" s="1" t="s">
        <v>3066</v>
      </c>
      <c r="F1537" s="2">
        <v>183</v>
      </c>
      <c r="G1537" s="3">
        <v>55.7</v>
      </c>
      <c r="H1537" s="4" t="str">
        <f>IF(AND(A1537="Yes",C1537="School"),COUNTIFS($A$6:A1537,"Yes",$C$6:C1537,"School"),"")</f>
        <v/>
      </c>
    </row>
    <row r="1538" spans="1:8">
      <c r="A1538" s="13"/>
      <c r="B1538" s="1" t="s">
        <v>3067</v>
      </c>
      <c r="C1538" s="1" t="s">
        <v>40</v>
      </c>
      <c r="D1538" s="1" t="s">
        <v>41</v>
      </c>
      <c r="E1538" s="1" t="s">
        <v>3068</v>
      </c>
      <c r="F1538" s="2">
        <v>7830</v>
      </c>
      <c r="G1538" s="3">
        <v>70.8</v>
      </c>
      <c r="H1538" s="4" t="str">
        <f>IF(AND(A1538="Yes",C1538="School"),COUNTIFS($A$6:A1538,"Yes",$C$6:C1538,"School"),"")</f>
        <v/>
      </c>
    </row>
    <row r="1539" spans="1:8">
      <c r="A1539" s="13"/>
      <c r="B1539" s="1" t="s">
        <v>3067</v>
      </c>
      <c r="C1539" s="1" t="s">
        <v>24</v>
      </c>
      <c r="D1539" s="1" t="s">
        <v>3069</v>
      </c>
      <c r="E1539" s="1" t="s">
        <v>3070</v>
      </c>
      <c r="F1539" s="2">
        <v>418</v>
      </c>
      <c r="G1539" s="3">
        <v>63.4</v>
      </c>
      <c r="H1539" s="4" t="str">
        <f>IF(AND(A1539="Yes",C1539="School"),COUNTIFS($A$6:A1539,"Yes",$C$6:C1539,"School"),"")</f>
        <v/>
      </c>
    </row>
    <row r="1540" spans="1:8">
      <c r="A1540" s="13"/>
      <c r="B1540" s="1" t="s">
        <v>3067</v>
      </c>
      <c r="C1540" s="1" t="s">
        <v>24</v>
      </c>
      <c r="D1540" s="1" t="s">
        <v>3071</v>
      </c>
      <c r="E1540" s="1" t="s">
        <v>3072</v>
      </c>
      <c r="F1540" s="2">
        <v>793</v>
      </c>
      <c r="G1540" s="3">
        <v>70.2</v>
      </c>
      <c r="H1540" s="4" t="str">
        <f>IF(AND(A1540="Yes",C1540="School"),COUNTIFS($A$6:A1540,"Yes",$C$6:C1540,"School"),"")</f>
        <v/>
      </c>
    </row>
    <row r="1541" spans="1:8">
      <c r="A1541" s="13"/>
      <c r="B1541" s="1" t="s">
        <v>3067</v>
      </c>
      <c r="C1541" s="1" t="s">
        <v>24</v>
      </c>
      <c r="D1541" s="1" t="s">
        <v>3073</v>
      </c>
      <c r="E1541" s="1" t="s">
        <v>3074</v>
      </c>
      <c r="F1541" s="2">
        <v>442</v>
      </c>
      <c r="G1541" s="3">
        <v>66.7</v>
      </c>
      <c r="H1541" s="4" t="str">
        <f>IF(AND(A1541="Yes",C1541="School"),COUNTIFS($A$6:A1541,"Yes",$C$6:C1541,"School"),"")</f>
        <v/>
      </c>
    </row>
    <row r="1542" spans="1:8">
      <c r="A1542" s="13"/>
      <c r="B1542" s="1" t="s">
        <v>3067</v>
      </c>
      <c r="C1542" s="1" t="s">
        <v>24</v>
      </c>
      <c r="D1542" s="1" t="s">
        <v>3075</v>
      </c>
      <c r="E1542" s="1" t="s">
        <v>3076</v>
      </c>
      <c r="F1542" s="2">
        <v>620</v>
      </c>
      <c r="G1542" s="3">
        <v>79.5</v>
      </c>
      <c r="H1542" s="4" t="str">
        <f>IF(AND(A1542="Yes",C1542="School"),COUNTIFS($A$6:A1542,"Yes",$C$6:C1542,"School"),"")</f>
        <v/>
      </c>
    </row>
    <row r="1543" spans="1:8">
      <c r="A1543" s="13"/>
      <c r="B1543" s="1" t="s">
        <v>3067</v>
      </c>
      <c r="C1543" s="1" t="s">
        <v>24</v>
      </c>
      <c r="D1543" s="1" t="s">
        <v>3077</v>
      </c>
      <c r="E1543" s="1" t="s">
        <v>3078</v>
      </c>
      <c r="F1543" s="2">
        <v>546</v>
      </c>
      <c r="G1543" s="3">
        <v>74.2</v>
      </c>
      <c r="H1543" s="4" t="str">
        <f>IF(AND(A1543="Yes",C1543="School"),COUNTIFS($A$6:A1543,"Yes",$C$6:C1543,"School"),"")</f>
        <v/>
      </c>
    </row>
    <row r="1544" spans="1:8">
      <c r="A1544" s="13"/>
      <c r="B1544" s="1" t="s">
        <v>3067</v>
      </c>
      <c r="C1544" s="1" t="s">
        <v>24</v>
      </c>
      <c r="D1544" s="1" t="s">
        <v>3079</v>
      </c>
      <c r="E1544" s="1" t="s">
        <v>3080</v>
      </c>
      <c r="F1544" s="2">
        <v>247</v>
      </c>
      <c r="G1544" s="3">
        <v>48.6</v>
      </c>
      <c r="H1544" s="4" t="str">
        <f>IF(AND(A1544="Yes",C1544="School"),COUNTIFS($A$6:A1544,"Yes",$C$6:C1544,"School"),"")</f>
        <v/>
      </c>
    </row>
    <row r="1545" spans="1:8">
      <c r="A1545" s="13"/>
      <c r="B1545" s="1" t="s">
        <v>3067</v>
      </c>
      <c r="C1545" s="1" t="s">
        <v>24</v>
      </c>
      <c r="D1545" s="1" t="s">
        <v>3081</v>
      </c>
      <c r="E1545" s="1" t="s">
        <v>3082</v>
      </c>
      <c r="F1545" s="2">
        <v>96</v>
      </c>
      <c r="G1545" s="3">
        <v>84.4</v>
      </c>
      <c r="H1545" s="4" t="str">
        <f>IF(AND(A1545="Yes",C1545="School"),COUNTIFS($A$6:A1545,"Yes",$C$6:C1545,"School"),"")</f>
        <v/>
      </c>
    </row>
    <row r="1546" spans="1:8">
      <c r="A1546" s="13"/>
      <c r="B1546" s="1" t="s">
        <v>3067</v>
      </c>
      <c r="C1546" s="1" t="s">
        <v>24</v>
      </c>
      <c r="D1546" s="1" t="s">
        <v>3083</v>
      </c>
      <c r="E1546" s="1" t="s">
        <v>3084</v>
      </c>
      <c r="F1546" s="2">
        <v>368</v>
      </c>
      <c r="G1546" s="3">
        <v>70.099999999999994</v>
      </c>
      <c r="H1546" s="4" t="str">
        <f>IF(AND(A1546="Yes",C1546="School"),COUNTIFS($A$6:A1546,"Yes",$C$6:C1546,"School"),"")</f>
        <v/>
      </c>
    </row>
    <row r="1547" spans="1:8">
      <c r="A1547" s="13"/>
      <c r="B1547" s="1" t="s">
        <v>3067</v>
      </c>
      <c r="C1547" s="1" t="s">
        <v>24</v>
      </c>
      <c r="D1547" s="1" t="s">
        <v>3085</v>
      </c>
      <c r="E1547" s="1" t="s">
        <v>3086</v>
      </c>
      <c r="F1547" s="2">
        <v>800</v>
      </c>
      <c r="G1547" s="3">
        <v>57.3</v>
      </c>
      <c r="H1547" s="4" t="str">
        <f>IF(AND(A1547="Yes",C1547="School"),COUNTIFS($A$6:A1547,"Yes",$C$6:C1547,"School"),"")</f>
        <v/>
      </c>
    </row>
    <row r="1548" spans="1:8">
      <c r="A1548" s="13"/>
      <c r="B1548" s="1" t="s">
        <v>3067</v>
      </c>
      <c r="C1548" s="1" t="s">
        <v>24</v>
      </c>
      <c r="D1548" s="1" t="s">
        <v>285</v>
      </c>
      <c r="E1548" s="1" t="s">
        <v>3087</v>
      </c>
      <c r="F1548" s="2">
        <v>436</v>
      </c>
      <c r="G1548" s="3">
        <v>92.2</v>
      </c>
      <c r="H1548" s="4" t="str">
        <f>IF(AND(A1548="Yes",C1548="School"),COUNTIFS($A$6:A1548,"Yes",$C$6:C1548,"School"),"")</f>
        <v/>
      </c>
    </row>
    <row r="1549" spans="1:8">
      <c r="A1549" s="13"/>
      <c r="B1549" s="1" t="s">
        <v>3067</v>
      </c>
      <c r="C1549" s="1" t="s">
        <v>24</v>
      </c>
      <c r="D1549" s="1" t="s">
        <v>1760</v>
      </c>
      <c r="E1549" s="1" t="s">
        <v>3088</v>
      </c>
      <c r="F1549" s="2">
        <v>468</v>
      </c>
      <c r="G1549" s="3">
        <v>83.8</v>
      </c>
      <c r="H1549" s="4" t="str">
        <f>IF(AND(A1549="Yes",C1549="School"),COUNTIFS($A$6:A1549,"Yes",$C$6:C1549,"School"),"")</f>
        <v/>
      </c>
    </row>
    <row r="1550" spans="1:8">
      <c r="A1550" s="13"/>
      <c r="B1550" s="1" t="s">
        <v>3067</v>
      </c>
      <c r="C1550" s="1" t="s">
        <v>24</v>
      </c>
      <c r="D1550" s="1" t="s">
        <v>3089</v>
      </c>
      <c r="E1550" s="1" t="s">
        <v>3090</v>
      </c>
      <c r="F1550" s="2">
        <v>466</v>
      </c>
      <c r="G1550" s="3">
        <v>69.3</v>
      </c>
      <c r="H1550" s="4" t="str">
        <f>IF(AND(A1550="Yes",C1550="School"),COUNTIFS($A$6:A1550,"Yes",$C$6:C1550,"School"),"")</f>
        <v/>
      </c>
    </row>
    <row r="1551" spans="1:8">
      <c r="A1551" s="13"/>
      <c r="B1551" s="1" t="s">
        <v>3067</v>
      </c>
      <c r="C1551" s="1" t="s">
        <v>24</v>
      </c>
      <c r="D1551" s="1" t="s">
        <v>3091</v>
      </c>
      <c r="E1551" s="1" t="s">
        <v>3092</v>
      </c>
      <c r="F1551" s="2">
        <v>448</v>
      </c>
      <c r="G1551" s="3">
        <v>87.7</v>
      </c>
      <c r="H1551" s="4" t="str">
        <f>IF(AND(A1551="Yes",C1551="School"),COUNTIFS($A$6:A1551,"Yes",$C$6:C1551,"School"),"")</f>
        <v/>
      </c>
    </row>
    <row r="1552" spans="1:8">
      <c r="A1552" s="13"/>
      <c r="B1552" s="1" t="s">
        <v>3067</v>
      </c>
      <c r="C1552" s="1" t="s">
        <v>24</v>
      </c>
      <c r="D1552" s="1" t="s">
        <v>3093</v>
      </c>
      <c r="E1552" s="1" t="s">
        <v>3094</v>
      </c>
      <c r="F1552" s="2">
        <v>627</v>
      </c>
      <c r="G1552" s="3">
        <v>56.1</v>
      </c>
      <c r="H1552" s="4" t="str">
        <f>IF(AND(A1552="Yes",C1552="School"),COUNTIFS($A$6:A1552,"Yes",$C$6:C1552,"School"),"")</f>
        <v/>
      </c>
    </row>
    <row r="1553" spans="1:8">
      <c r="A1553" s="13"/>
      <c r="B1553" s="1" t="s">
        <v>3067</v>
      </c>
      <c r="C1553" s="1" t="s">
        <v>24</v>
      </c>
      <c r="D1553" s="1" t="s">
        <v>3095</v>
      </c>
      <c r="E1553" s="1" t="s">
        <v>3096</v>
      </c>
      <c r="F1553" s="2">
        <v>313</v>
      </c>
      <c r="G1553" s="3">
        <v>91.1</v>
      </c>
      <c r="H1553" s="4" t="str">
        <f>IF(AND(A1553="Yes",C1553="School"),COUNTIFS($A$6:A1553,"Yes",$C$6:C1553,"School"),"")</f>
        <v/>
      </c>
    </row>
    <row r="1554" spans="1:8">
      <c r="A1554" s="13"/>
      <c r="B1554" s="1" t="s">
        <v>3067</v>
      </c>
      <c r="C1554" s="1" t="s">
        <v>24</v>
      </c>
      <c r="D1554" s="1" t="s">
        <v>1776</v>
      </c>
      <c r="E1554" s="1" t="s">
        <v>3097</v>
      </c>
      <c r="F1554" s="2">
        <v>213</v>
      </c>
      <c r="G1554" s="3">
        <v>62.9</v>
      </c>
      <c r="H1554" s="4" t="str">
        <f>IF(AND(A1554="Yes",C1554="School"),COUNTIFS($A$6:A1554,"Yes",$C$6:C1554,"School"),"")</f>
        <v/>
      </c>
    </row>
    <row r="1555" spans="1:8">
      <c r="A1555" s="13"/>
      <c r="B1555" s="1" t="s">
        <v>3067</v>
      </c>
      <c r="C1555" s="1" t="s">
        <v>24</v>
      </c>
      <c r="D1555" s="1" t="s">
        <v>3098</v>
      </c>
      <c r="E1555" s="1" t="s">
        <v>3099</v>
      </c>
      <c r="F1555" s="2">
        <v>529</v>
      </c>
      <c r="G1555" s="3">
        <v>62.4</v>
      </c>
      <c r="H1555" s="4" t="str">
        <f>IF(AND(A1555="Yes",C1555="School"),COUNTIFS($A$6:A1555,"Yes",$C$6:C1555,"School"),"")</f>
        <v/>
      </c>
    </row>
    <row r="1556" spans="1:8">
      <c r="A1556" s="13"/>
      <c r="B1556" s="1" t="s">
        <v>3100</v>
      </c>
      <c r="C1556" s="1" t="s">
        <v>40</v>
      </c>
      <c r="D1556" s="1" t="s">
        <v>41</v>
      </c>
      <c r="E1556" s="1" t="s">
        <v>3101</v>
      </c>
      <c r="F1556" s="2">
        <v>2922</v>
      </c>
      <c r="G1556" s="3">
        <v>73.8</v>
      </c>
      <c r="H1556" s="4" t="str">
        <f>IF(AND(A1556="Yes",C1556="School"),COUNTIFS($A$6:A1556,"Yes",$C$6:C1556,"School"),"")</f>
        <v/>
      </c>
    </row>
    <row r="1557" spans="1:8">
      <c r="A1557" s="13"/>
      <c r="B1557" s="1" t="s">
        <v>3100</v>
      </c>
      <c r="C1557" s="1" t="s">
        <v>24</v>
      </c>
      <c r="D1557" s="1" t="s">
        <v>3102</v>
      </c>
      <c r="E1557" s="1" t="s">
        <v>3103</v>
      </c>
      <c r="F1557" s="2">
        <v>332</v>
      </c>
      <c r="G1557" s="3">
        <v>81.3</v>
      </c>
      <c r="H1557" s="4" t="str">
        <f>IF(AND(A1557="Yes",C1557="School"),COUNTIFS($A$6:A1557,"Yes",$C$6:C1557,"School"),"")</f>
        <v/>
      </c>
    </row>
    <row r="1558" spans="1:8">
      <c r="A1558" s="13"/>
      <c r="B1558" s="1" t="s">
        <v>3100</v>
      </c>
      <c r="C1558" s="1" t="s">
        <v>24</v>
      </c>
      <c r="D1558" s="1" t="s">
        <v>3104</v>
      </c>
      <c r="E1558" s="1" t="s">
        <v>3105</v>
      </c>
      <c r="F1558" s="2">
        <v>606</v>
      </c>
      <c r="G1558" s="3">
        <v>72.400000000000006</v>
      </c>
      <c r="H1558" s="4" t="str">
        <f>IF(AND(A1558="Yes",C1558="School"),COUNTIFS($A$6:A1558,"Yes",$C$6:C1558,"School"),"")</f>
        <v/>
      </c>
    </row>
    <row r="1559" spans="1:8">
      <c r="A1559" s="13"/>
      <c r="B1559" s="1" t="s">
        <v>3100</v>
      </c>
      <c r="C1559" s="1" t="s">
        <v>24</v>
      </c>
      <c r="D1559" s="1" t="s">
        <v>3106</v>
      </c>
      <c r="E1559" s="1" t="s">
        <v>3107</v>
      </c>
      <c r="F1559" s="2">
        <v>851</v>
      </c>
      <c r="G1559" s="3">
        <v>65</v>
      </c>
      <c r="H1559" s="4" t="str">
        <f>IF(AND(A1559="Yes",C1559="School"),COUNTIFS($A$6:A1559,"Yes",$C$6:C1559,"School"),"")</f>
        <v/>
      </c>
    </row>
    <row r="1560" spans="1:8">
      <c r="A1560" s="13"/>
      <c r="B1560" s="1" t="s">
        <v>3100</v>
      </c>
      <c r="C1560" s="1" t="s">
        <v>24</v>
      </c>
      <c r="D1560" s="1" t="s">
        <v>3108</v>
      </c>
      <c r="E1560" s="1" t="s">
        <v>3109</v>
      </c>
      <c r="F1560" s="2">
        <v>379</v>
      </c>
      <c r="G1560" s="3">
        <v>78.599999999999994</v>
      </c>
      <c r="H1560" s="4" t="str">
        <f>IF(AND(A1560="Yes",C1560="School"),COUNTIFS($A$6:A1560,"Yes",$C$6:C1560,"School"),"")</f>
        <v/>
      </c>
    </row>
    <row r="1561" spans="1:8">
      <c r="A1561" s="13"/>
      <c r="B1561" s="1" t="s">
        <v>3100</v>
      </c>
      <c r="C1561" s="1" t="s">
        <v>24</v>
      </c>
      <c r="D1561" s="1" t="s">
        <v>3110</v>
      </c>
      <c r="E1561" s="1" t="s">
        <v>3111</v>
      </c>
      <c r="F1561" s="2">
        <v>25</v>
      </c>
      <c r="G1561" s="3">
        <v>80</v>
      </c>
      <c r="H1561" s="4" t="str">
        <f>IF(AND(A1561="Yes",C1561="School"),COUNTIFS($A$6:A1561,"Yes",$C$6:C1561,"School"),"")</f>
        <v/>
      </c>
    </row>
    <row r="1562" spans="1:8">
      <c r="A1562" s="13"/>
      <c r="B1562" s="1" t="s">
        <v>3100</v>
      </c>
      <c r="C1562" s="1" t="s">
        <v>24</v>
      </c>
      <c r="D1562" s="1" t="s">
        <v>3112</v>
      </c>
      <c r="E1562" s="1" t="s">
        <v>3113</v>
      </c>
      <c r="F1562" s="2">
        <v>321</v>
      </c>
      <c r="G1562" s="3">
        <v>79.400000000000006</v>
      </c>
      <c r="H1562" s="4" t="str">
        <f>IF(AND(A1562="Yes",C1562="School"),COUNTIFS($A$6:A1562,"Yes",$C$6:C1562,"School"),"")</f>
        <v/>
      </c>
    </row>
    <row r="1563" spans="1:8">
      <c r="A1563" s="13"/>
      <c r="B1563" s="1" t="s">
        <v>3100</v>
      </c>
      <c r="C1563" s="1" t="s">
        <v>24</v>
      </c>
      <c r="D1563" s="1" t="s">
        <v>3114</v>
      </c>
      <c r="E1563" s="1" t="s">
        <v>3115</v>
      </c>
      <c r="F1563" s="2">
        <v>408</v>
      </c>
      <c r="G1563" s="3">
        <v>78.400000000000006</v>
      </c>
      <c r="H1563" s="4" t="str">
        <f>IF(AND(A1563="Yes",C1563="School"),COUNTIFS($A$6:A1563,"Yes",$C$6:C1563,"School"),"")</f>
        <v/>
      </c>
    </row>
    <row r="1564" spans="1:8">
      <c r="A1564" s="13"/>
      <c r="B1564" s="1" t="s">
        <v>3116</v>
      </c>
      <c r="C1564" s="1" t="s">
        <v>24</v>
      </c>
      <c r="D1564" s="1" t="s">
        <v>3116</v>
      </c>
      <c r="E1564" s="1" t="s">
        <v>3117</v>
      </c>
      <c r="F1564" s="2">
        <v>186</v>
      </c>
      <c r="G1564" s="3">
        <v>43.5</v>
      </c>
      <c r="H1564" s="4" t="str">
        <f>IF(AND(A1564="Yes",C1564="School"),COUNTIFS($A$6:A1564,"Yes",$C$6:C1564,"School"),"")</f>
        <v/>
      </c>
    </row>
    <row r="1565" spans="1:8">
      <c r="A1565" s="13"/>
      <c r="B1565" s="1" t="s">
        <v>3118</v>
      </c>
      <c r="C1565" s="1" t="s">
        <v>24</v>
      </c>
      <c r="D1565" s="1" t="s">
        <v>3118</v>
      </c>
      <c r="E1565" s="1" t="s">
        <v>3119</v>
      </c>
      <c r="F1565" s="2">
        <v>2336</v>
      </c>
      <c r="G1565" s="3">
        <v>27</v>
      </c>
      <c r="H1565" s="4" t="str">
        <f>IF(AND(A1565="Yes",C1565="School"),COUNTIFS($A$6:A1565,"Yes",$C$6:C1565,"School"),"")</f>
        <v/>
      </c>
    </row>
    <row r="1566" spans="1:8">
      <c r="A1566" s="13"/>
      <c r="B1566" s="1" t="s">
        <v>3120</v>
      </c>
      <c r="C1566" s="1" t="s">
        <v>40</v>
      </c>
      <c r="D1566" s="1" t="s">
        <v>41</v>
      </c>
      <c r="E1566" s="1" t="s">
        <v>3121</v>
      </c>
      <c r="F1566" s="2">
        <v>11493</v>
      </c>
      <c r="G1566" s="3">
        <v>43.3</v>
      </c>
      <c r="H1566" s="4" t="str">
        <f>IF(AND(A1566="Yes",C1566="School"),COUNTIFS($A$6:A1566,"Yes",$C$6:C1566,"School"),"")</f>
        <v/>
      </c>
    </row>
    <row r="1567" spans="1:8">
      <c r="A1567" s="13"/>
      <c r="B1567" s="1" t="s">
        <v>3120</v>
      </c>
      <c r="C1567" s="1" t="s">
        <v>24</v>
      </c>
      <c r="D1567" s="1" t="s">
        <v>3122</v>
      </c>
      <c r="E1567" s="1" t="s">
        <v>3123</v>
      </c>
      <c r="F1567" s="2">
        <v>64</v>
      </c>
      <c r="G1567" s="3">
        <v>68.8</v>
      </c>
      <c r="H1567" s="4" t="str">
        <f>IF(AND(A1567="Yes",C1567="School"),COUNTIFS($A$6:A1567,"Yes",$C$6:C1567,"School"),"")</f>
        <v/>
      </c>
    </row>
    <row r="1568" spans="1:8">
      <c r="A1568" s="13"/>
      <c r="B1568" s="1" t="s">
        <v>3120</v>
      </c>
      <c r="C1568" s="1" t="s">
        <v>24</v>
      </c>
      <c r="D1568" s="1" t="s">
        <v>3124</v>
      </c>
      <c r="E1568" s="1" t="s">
        <v>3125</v>
      </c>
      <c r="F1568" s="2">
        <v>372</v>
      </c>
      <c r="G1568" s="3">
        <v>72.599999999999994</v>
      </c>
      <c r="H1568" s="4" t="str">
        <f>IF(AND(A1568="Yes",C1568="School"),COUNTIFS($A$6:A1568,"Yes",$C$6:C1568,"School"),"")</f>
        <v/>
      </c>
    </row>
    <row r="1569" spans="1:8">
      <c r="A1569" s="13"/>
      <c r="B1569" s="1" t="s">
        <v>3120</v>
      </c>
      <c r="C1569" s="1" t="s">
        <v>24</v>
      </c>
      <c r="D1569" s="1" t="s">
        <v>3126</v>
      </c>
      <c r="E1569" s="1" t="s">
        <v>3127</v>
      </c>
      <c r="F1569" s="2">
        <v>557</v>
      </c>
      <c r="G1569" s="3">
        <v>34.799999999999997</v>
      </c>
      <c r="H1569" s="4" t="str">
        <f>IF(AND(A1569="Yes",C1569="School"),COUNTIFS($A$6:A1569,"Yes",$C$6:C1569,"School"),"")</f>
        <v/>
      </c>
    </row>
    <row r="1570" spans="1:8">
      <c r="A1570" s="13"/>
      <c r="B1570" s="1" t="s">
        <v>3120</v>
      </c>
      <c r="C1570" s="1" t="s">
        <v>24</v>
      </c>
      <c r="D1570" s="1" t="s">
        <v>3128</v>
      </c>
      <c r="E1570" s="1" t="s">
        <v>3129</v>
      </c>
      <c r="F1570" s="2">
        <v>415</v>
      </c>
      <c r="G1570" s="3">
        <v>54.7</v>
      </c>
      <c r="H1570" s="4" t="str">
        <f>IF(AND(A1570="Yes",C1570="School"),COUNTIFS($A$6:A1570,"Yes",$C$6:C1570,"School"),"")</f>
        <v/>
      </c>
    </row>
    <row r="1571" spans="1:8">
      <c r="A1571" s="13"/>
      <c r="B1571" s="1" t="s">
        <v>3120</v>
      </c>
      <c r="C1571" s="1" t="s">
        <v>24</v>
      </c>
      <c r="D1571" s="1" t="s">
        <v>3130</v>
      </c>
      <c r="E1571" s="1" t="s">
        <v>3131</v>
      </c>
      <c r="F1571" s="2">
        <v>1027</v>
      </c>
      <c r="G1571" s="3">
        <v>32.9</v>
      </c>
      <c r="H1571" s="4" t="str">
        <f>IF(AND(A1571="Yes",C1571="School"),COUNTIFS($A$6:A1571,"Yes",$C$6:C1571,"School"),"")</f>
        <v/>
      </c>
    </row>
    <row r="1572" spans="1:8">
      <c r="A1572" s="13"/>
      <c r="B1572" s="1" t="s">
        <v>3120</v>
      </c>
      <c r="C1572" s="1" t="s">
        <v>24</v>
      </c>
      <c r="D1572" s="1" t="s">
        <v>3132</v>
      </c>
      <c r="E1572" s="1" t="s">
        <v>3133</v>
      </c>
      <c r="F1572" s="2">
        <v>753</v>
      </c>
      <c r="G1572" s="3">
        <v>40.9</v>
      </c>
      <c r="H1572" s="4" t="str">
        <f>IF(AND(A1572="Yes",C1572="School"),COUNTIFS($A$6:A1572,"Yes",$C$6:C1572,"School"),"")</f>
        <v/>
      </c>
    </row>
    <row r="1573" spans="1:8">
      <c r="A1573" s="13"/>
      <c r="B1573" s="1" t="s">
        <v>3120</v>
      </c>
      <c r="C1573" s="1" t="s">
        <v>24</v>
      </c>
      <c r="D1573" s="1" t="s">
        <v>3134</v>
      </c>
      <c r="E1573" s="1" t="s">
        <v>3135</v>
      </c>
      <c r="F1573" s="2">
        <v>387</v>
      </c>
      <c r="G1573" s="3">
        <v>60.7</v>
      </c>
      <c r="H1573" s="4" t="str">
        <f>IF(AND(A1573="Yes",C1573="School"),COUNTIFS($A$6:A1573,"Yes",$C$6:C1573,"School"),"")</f>
        <v/>
      </c>
    </row>
    <row r="1574" spans="1:8">
      <c r="A1574" s="13"/>
      <c r="B1574" s="1" t="s">
        <v>3120</v>
      </c>
      <c r="C1574" s="1" t="s">
        <v>24</v>
      </c>
      <c r="D1574" s="1" t="s">
        <v>3136</v>
      </c>
      <c r="E1574" s="1" t="s">
        <v>3137</v>
      </c>
      <c r="F1574" s="2">
        <v>353</v>
      </c>
      <c r="G1574" s="3">
        <v>56.9</v>
      </c>
      <c r="H1574" s="4" t="str">
        <f>IF(AND(A1574="Yes",C1574="School"),COUNTIFS($A$6:A1574,"Yes",$C$6:C1574,"School"),"")</f>
        <v/>
      </c>
    </row>
    <row r="1575" spans="1:8">
      <c r="A1575" s="13"/>
      <c r="B1575" s="1" t="s">
        <v>3120</v>
      </c>
      <c r="C1575" s="1" t="s">
        <v>24</v>
      </c>
      <c r="D1575" s="1" t="s">
        <v>3138</v>
      </c>
      <c r="E1575" s="1" t="s">
        <v>3139</v>
      </c>
      <c r="F1575" s="2">
        <v>718</v>
      </c>
      <c r="G1575" s="3">
        <v>58.4</v>
      </c>
      <c r="H1575" s="4" t="str">
        <f>IF(AND(A1575="Yes",C1575="School"),COUNTIFS($A$6:A1575,"Yes",$C$6:C1575,"School"),"")</f>
        <v/>
      </c>
    </row>
    <row r="1576" spans="1:8">
      <c r="A1576" s="13"/>
      <c r="B1576" s="1" t="s">
        <v>3120</v>
      </c>
      <c r="C1576" s="1" t="s">
        <v>24</v>
      </c>
      <c r="D1576" s="1" t="s">
        <v>3140</v>
      </c>
      <c r="E1576" s="1" t="s">
        <v>3141</v>
      </c>
      <c r="F1576" s="2">
        <v>574</v>
      </c>
      <c r="G1576" s="3">
        <v>60.6</v>
      </c>
      <c r="H1576" s="4" t="str">
        <f>IF(AND(A1576="Yes",C1576="School"),COUNTIFS($A$6:A1576,"Yes",$C$6:C1576,"School"),"")</f>
        <v/>
      </c>
    </row>
    <row r="1577" spans="1:8">
      <c r="A1577" s="13"/>
      <c r="B1577" s="1" t="s">
        <v>3120</v>
      </c>
      <c r="C1577" s="1" t="s">
        <v>24</v>
      </c>
      <c r="D1577" s="1" t="s">
        <v>3142</v>
      </c>
      <c r="E1577" s="1" t="s">
        <v>3143</v>
      </c>
      <c r="F1577" s="2">
        <v>297</v>
      </c>
      <c r="G1577" s="3">
        <v>67.3</v>
      </c>
      <c r="H1577" s="4" t="str">
        <f>IF(AND(A1577="Yes",C1577="School"),COUNTIFS($A$6:A1577,"Yes",$C$6:C1577,"School"),"")</f>
        <v/>
      </c>
    </row>
    <row r="1578" spans="1:8">
      <c r="A1578" s="13"/>
      <c r="B1578" s="1" t="s">
        <v>3120</v>
      </c>
      <c r="C1578" s="1" t="s">
        <v>24</v>
      </c>
      <c r="D1578" s="1" t="s">
        <v>3144</v>
      </c>
      <c r="E1578" s="1" t="s">
        <v>3145</v>
      </c>
      <c r="F1578" s="2">
        <v>352</v>
      </c>
      <c r="G1578" s="3">
        <v>58.5</v>
      </c>
      <c r="H1578" s="4" t="str">
        <f>IF(AND(A1578="Yes",C1578="School"),COUNTIFS($A$6:A1578,"Yes",$C$6:C1578,"School"),"")</f>
        <v/>
      </c>
    </row>
    <row r="1579" spans="1:8">
      <c r="A1579" s="13"/>
      <c r="B1579" s="1" t="s">
        <v>3120</v>
      </c>
      <c r="C1579" s="1" t="s">
        <v>24</v>
      </c>
      <c r="D1579" s="1" t="s">
        <v>3146</v>
      </c>
      <c r="E1579" s="1" t="s">
        <v>3147</v>
      </c>
      <c r="F1579" s="2">
        <v>1052</v>
      </c>
      <c r="G1579" s="3">
        <v>24.2</v>
      </c>
      <c r="H1579" s="4" t="str">
        <f>IF(AND(A1579="Yes",C1579="School"),COUNTIFS($A$6:A1579,"Yes",$C$6:C1579,"School"),"")</f>
        <v/>
      </c>
    </row>
    <row r="1580" spans="1:8">
      <c r="A1580" s="13"/>
      <c r="B1580" s="1" t="s">
        <v>3120</v>
      </c>
      <c r="C1580" s="1" t="s">
        <v>24</v>
      </c>
      <c r="D1580" s="1" t="s">
        <v>3148</v>
      </c>
      <c r="E1580" s="1" t="s">
        <v>3149</v>
      </c>
      <c r="F1580" s="2">
        <v>763</v>
      </c>
      <c r="G1580" s="3">
        <v>29.9</v>
      </c>
      <c r="H1580" s="4" t="str">
        <f>IF(AND(A1580="Yes",C1580="School"),COUNTIFS($A$6:A1580,"Yes",$C$6:C1580,"School"),"")</f>
        <v/>
      </c>
    </row>
    <row r="1581" spans="1:8">
      <c r="A1581" s="13"/>
      <c r="B1581" s="1" t="s">
        <v>3120</v>
      </c>
      <c r="C1581" s="1" t="s">
        <v>24</v>
      </c>
      <c r="D1581" s="1" t="s">
        <v>3150</v>
      </c>
      <c r="E1581" s="1" t="s">
        <v>3151</v>
      </c>
      <c r="F1581" s="2">
        <v>289</v>
      </c>
      <c r="G1581" s="3">
        <v>34.299999999999997</v>
      </c>
      <c r="H1581" s="4" t="str">
        <f>IF(AND(A1581="Yes",C1581="School"),COUNTIFS($A$6:A1581,"Yes",$C$6:C1581,"School"),"")</f>
        <v/>
      </c>
    </row>
    <row r="1582" spans="1:8">
      <c r="A1582" s="13"/>
      <c r="B1582" s="1" t="s">
        <v>3120</v>
      </c>
      <c r="C1582" s="1" t="s">
        <v>24</v>
      </c>
      <c r="D1582" s="1" t="s">
        <v>3152</v>
      </c>
      <c r="E1582" s="1" t="s">
        <v>3153</v>
      </c>
      <c r="F1582" s="2">
        <v>309</v>
      </c>
      <c r="G1582" s="3">
        <v>41.7</v>
      </c>
      <c r="H1582" s="4" t="str">
        <f>IF(AND(A1582="Yes",C1582="School"),COUNTIFS($A$6:A1582,"Yes",$C$6:C1582,"School"),"")</f>
        <v/>
      </c>
    </row>
    <row r="1583" spans="1:8">
      <c r="A1583" s="13"/>
      <c r="B1583" s="1" t="s">
        <v>3120</v>
      </c>
      <c r="C1583" s="1" t="s">
        <v>24</v>
      </c>
      <c r="D1583" s="1" t="s">
        <v>3154</v>
      </c>
      <c r="E1583" s="1" t="s">
        <v>3155</v>
      </c>
      <c r="F1583" s="2">
        <v>646</v>
      </c>
      <c r="G1583" s="3">
        <v>23.2</v>
      </c>
      <c r="H1583" s="4" t="str">
        <f>IF(AND(A1583="Yes",C1583="School"),COUNTIFS($A$6:A1583,"Yes",$C$6:C1583,"School"),"")</f>
        <v/>
      </c>
    </row>
    <row r="1584" spans="1:8">
      <c r="A1584" s="13"/>
      <c r="B1584" s="1" t="s">
        <v>3120</v>
      </c>
      <c r="C1584" s="1" t="s">
        <v>24</v>
      </c>
      <c r="D1584" s="1" t="s">
        <v>3156</v>
      </c>
      <c r="E1584" s="1" t="s">
        <v>3157</v>
      </c>
      <c r="F1584" s="2">
        <v>294</v>
      </c>
      <c r="G1584" s="3">
        <v>59.9</v>
      </c>
      <c r="H1584" s="4" t="str">
        <f>IF(AND(A1584="Yes",C1584="School"),COUNTIFS($A$6:A1584,"Yes",$C$6:C1584,"School"),"")</f>
        <v/>
      </c>
    </row>
    <row r="1585" spans="1:8">
      <c r="A1585" s="13"/>
      <c r="B1585" s="1" t="s">
        <v>3120</v>
      </c>
      <c r="C1585" s="1" t="s">
        <v>24</v>
      </c>
      <c r="D1585" s="1" t="s">
        <v>3158</v>
      </c>
      <c r="E1585" s="1" t="s">
        <v>3159</v>
      </c>
      <c r="F1585" s="2">
        <v>633</v>
      </c>
      <c r="G1585" s="3">
        <v>27.3</v>
      </c>
      <c r="H1585" s="4" t="str">
        <f>IF(AND(A1585="Yes",C1585="School"),COUNTIFS($A$6:A1585,"Yes",$C$6:C1585,"School"),"")</f>
        <v/>
      </c>
    </row>
    <row r="1586" spans="1:8">
      <c r="A1586" s="13"/>
      <c r="B1586" s="1" t="s">
        <v>3120</v>
      </c>
      <c r="C1586" s="1" t="s">
        <v>24</v>
      </c>
      <c r="D1586" s="1" t="s">
        <v>381</v>
      </c>
      <c r="E1586" s="1" t="s">
        <v>3160</v>
      </c>
      <c r="F1586" s="2">
        <v>356</v>
      </c>
      <c r="G1586" s="3">
        <v>45.8</v>
      </c>
      <c r="H1586" s="4" t="str">
        <f>IF(AND(A1586="Yes",C1586="School"),COUNTIFS($A$6:A1586,"Yes",$C$6:C1586,"School"),"")</f>
        <v/>
      </c>
    </row>
    <row r="1587" spans="1:8">
      <c r="A1587" s="13"/>
      <c r="B1587" s="1" t="s">
        <v>3120</v>
      </c>
      <c r="C1587" s="1" t="s">
        <v>24</v>
      </c>
      <c r="D1587" s="1" t="s">
        <v>3161</v>
      </c>
      <c r="E1587" s="1" t="s">
        <v>3162</v>
      </c>
      <c r="F1587" s="2">
        <v>689</v>
      </c>
      <c r="G1587" s="3">
        <v>47.8</v>
      </c>
      <c r="H1587" s="4" t="str">
        <f>IF(AND(A1587="Yes",C1587="School"),COUNTIFS($A$6:A1587,"Yes",$C$6:C1587,"School"),"")</f>
        <v/>
      </c>
    </row>
    <row r="1588" spans="1:8">
      <c r="A1588" s="13"/>
      <c r="B1588" s="1" t="s">
        <v>3120</v>
      </c>
      <c r="C1588" s="1" t="s">
        <v>24</v>
      </c>
      <c r="D1588" s="1" t="s">
        <v>3163</v>
      </c>
      <c r="E1588" s="1" t="s">
        <v>3164</v>
      </c>
      <c r="F1588" s="2">
        <v>593</v>
      </c>
      <c r="G1588" s="3">
        <v>48.7</v>
      </c>
      <c r="H1588" s="4" t="str">
        <f>IF(AND(A1588="Yes",C1588="School"),COUNTIFS($A$6:A1588,"Yes",$C$6:C1588,"School"),"")</f>
        <v/>
      </c>
    </row>
    <row r="1589" spans="1:8">
      <c r="A1589" s="13"/>
      <c r="B1589" s="1" t="s">
        <v>3165</v>
      </c>
      <c r="C1589" s="1" t="s">
        <v>24</v>
      </c>
      <c r="D1589" s="1" t="s">
        <v>3165</v>
      </c>
      <c r="E1589" s="1" t="s">
        <v>3166</v>
      </c>
      <c r="F1589" s="2">
        <v>367</v>
      </c>
      <c r="G1589" s="3">
        <v>16.899999999999999</v>
      </c>
      <c r="H1589" s="4" t="str">
        <f>IF(AND(A1589="Yes",C1589="School"),COUNTIFS($A$6:A1589,"Yes",$C$6:C1589,"School"),"")</f>
        <v/>
      </c>
    </row>
    <row r="1590" spans="1:8">
      <c r="A1590" s="13"/>
      <c r="B1590" s="1" t="s">
        <v>3167</v>
      </c>
      <c r="C1590" s="1" t="s">
        <v>40</v>
      </c>
      <c r="D1590" s="1" t="s">
        <v>41</v>
      </c>
      <c r="E1590" s="1" t="s">
        <v>3168</v>
      </c>
      <c r="F1590" s="2">
        <v>4287</v>
      </c>
      <c r="G1590" s="3">
        <v>50.2</v>
      </c>
      <c r="H1590" s="4" t="str">
        <f>IF(AND(A1590="Yes",C1590="School"),COUNTIFS($A$6:A1590,"Yes",$C$6:C1590,"School"),"")</f>
        <v/>
      </c>
    </row>
    <row r="1591" spans="1:8">
      <c r="A1591" s="13"/>
      <c r="B1591" s="1" t="s">
        <v>3167</v>
      </c>
      <c r="C1591" s="1" t="s">
        <v>24</v>
      </c>
      <c r="D1591" s="1" t="s">
        <v>3169</v>
      </c>
      <c r="E1591" s="1" t="s">
        <v>3170</v>
      </c>
      <c r="F1591" s="2">
        <v>52</v>
      </c>
      <c r="G1591" s="3">
        <v>61.5</v>
      </c>
      <c r="H1591" s="4" t="str">
        <f>IF(AND(A1591="Yes",C1591="School"),COUNTIFS($A$6:A1591,"Yes",$C$6:C1591,"School"),"")</f>
        <v/>
      </c>
    </row>
    <row r="1592" spans="1:8">
      <c r="A1592" s="13"/>
      <c r="B1592" s="1" t="s">
        <v>3167</v>
      </c>
      <c r="C1592" s="1" t="s">
        <v>24</v>
      </c>
      <c r="D1592" s="1" t="s">
        <v>3171</v>
      </c>
      <c r="E1592" s="1" t="s">
        <v>3172</v>
      </c>
      <c r="F1592" s="2">
        <v>323</v>
      </c>
      <c r="G1592" s="3">
        <v>44</v>
      </c>
      <c r="H1592" s="4" t="str">
        <f>IF(AND(A1592="Yes",C1592="School"),COUNTIFS($A$6:A1592,"Yes",$C$6:C1592,"School"),"")</f>
        <v/>
      </c>
    </row>
    <row r="1593" spans="1:8">
      <c r="A1593" s="13"/>
      <c r="B1593" s="1" t="s">
        <v>3167</v>
      </c>
      <c r="C1593" s="1" t="s">
        <v>24</v>
      </c>
      <c r="D1593" s="1" t="s">
        <v>3173</v>
      </c>
      <c r="E1593" s="1" t="s">
        <v>3174</v>
      </c>
      <c r="F1593" s="2">
        <v>305</v>
      </c>
      <c r="G1593" s="3">
        <v>57.4</v>
      </c>
      <c r="H1593" s="4" t="str">
        <f>IF(AND(A1593="Yes",C1593="School"),COUNTIFS($A$6:A1593,"Yes",$C$6:C1593,"School"),"")</f>
        <v/>
      </c>
    </row>
    <row r="1594" spans="1:8">
      <c r="A1594" s="13"/>
      <c r="B1594" s="1" t="s">
        <v>3167</v>
      </c>
      <c r="C1594" s="1" t="s">
        <v>24</v>
      </c>
      <c r="D1594" s="1" t="s">
        <v>3175</v>
      </c>
      <c r="E1594" s="1" t="s">
        <v>3176</v>
      </c>
      <c r="F1594" s="2">
        <v>906</v>
      </c>
      <c r="G1594" s="3">
        <v>50.8</v>
      </c>
      <c r="H1594" s="4" t="str">
        <f>IF(AND(A1594="Yes",C1594="School"),COUNTIFS($A$6:A1594,"Yes",$C$6:C1594,"School"),"")</f>
        <v/>
      </c>
    </row>
    <row r="1595" spans="1:8">
      <c r="A1595" s="13"/>
      <c r="B1595" s="1" t="s">
        <v>3167</v>
      </c>
      <c r="C1595" s="1" t="s">
        <v>24</v>
      </c>
      <c r="D1595" s="1" t="s">
        <v>3177</v>
      </c>
      <c r="E1595" s="1" t="s">
        <v>3178</v>
      </c>
      <c r="F1595" s="2">
        <v>331</v>
      </c>
      <c r="G1595" s="3">
        <v>42.6</v>
      </c>
      <c r="H1595" s="4" t="str">
        <f>IF(AND(A1595="Yes",C1595="School"),COUNTIFS($A$6:A1595,"Yes",$C$6:C1595,"School"),"")</f>
        <v/>
      </c>
    </row>
    <row r="1596" spans="1:8">
      <c r="A1596" s="13"/>
      <c r="B1596" s="1" t="s">
        <v>3167</v>
      </c>
      <c r="C1596" s="1" t="s">
        <v>24</v>
      </c>
      <c r="D1596" s="1" t="s">
        <v>3179</v>
      </c>
      <c r="E1596" s="1" t="s">
        <v>3180</v>
      </c>
      <c r="F1596" s="2">
        <v>403</v>
      </c>
      <c r="G1596" s="3">
        <v>54.8</v>
      </c>
      <c r="H1596" s="4" t="str">
        <f>IF(AND(A1596="Yes",C1596="School"),COUNTIFS($A$6:A1596,"Yes",$C$6:C1596,"School"),"")</f>
        <v/>
      </c>
    </row>
    <row r="1597" spans="1:8">
      <c r="A1597" s="13"/>
      <c r="B1597" s="1" t="s">
        <v>3167</v>
      </c>
      <c r="C1597" s="1" t="s">
        <v>24</v>
      </c>
      <c r="D1597" s="1" t="s">
        <v>3181</v>
      </c>
      <c r="E1597" s="1" t="s">
        <v>3182</v>
      </c>
      <c r="F1597" s="2">
        <v>153</v>
      </c>
      <c r="G1597" s="3">
        <v>39.200000000000003</v>
      </c>
      <c r="H1597" s="4" t="str">
        <f>IF(AND(A1597="Yes",C1597="School"),COUNTIFS($A$6:A1597,"Yes",$C$6:C1597,"School"),"")</f>
        <v/>
      </c>
    </row>
    <row r="1598" spans="1:8">
      <c r="A1598" s="13"/>
      <c r="B1598" s="1" t="s">
        <v>3167</v>
      </c>
      <c r="C1598" s="1" t="s">
        <v>24</v>
      </c>
      <c r="D1598" s="1" t="s">
        <v>3183</v>
      </c>
      <c r="E1598" s="1" t="s">
        <v>3184</v>
      </c>
      <c r="F1598" s="2">
        <v>595</v>
      </c>
      <c r="G1598" s="3">
        <v>46.1</v>
      </c>
      <c r="H1598" s="4" t="str">
        <f>IF(AND(A1598="Yes",C1598="School"),COUNTIFS($A$6:A1598,"Yes",$C$6:C1598,"School"),"")</f>
        <v/>
      </c>
    </row>
    <row r="1599" spans="1:8">
      <c r="A1599" s="13"/>
      <c r="B1599" s="1" t="s">
        <v>3167</v>
      </c>
      <c r="C1599" s="1" t="s">
        <v>24</v>
      </c>
      <c r="D1599" s="1" t="s">
        <v>3185</v>
      </c>
      <c r="E1599" s="1" t="s">
        <v>3186</v>
      </c>
      <c r="F1599" s="2">
        <v>41</v>
      </c>
      <c r="G1599" s="3">
        <v>61</v>
      </c>
      <c r="H1599" s="4" t="str">
        <f>IF(AND(A1599="Yes",C1599="School"),COUNTIFS($A$6:A1599,"Yes",$C$6:C1599,"School"),"")</f>
        <v/>
      </c>
    </row>
    <row r="1600" spans="1:8">
      <c r="A1600" s="13"/>
      <c r="B1600" s="1" t="s">
        <v>3167</v>
      </c>
      <c r="C1600" s="1" t="s">
        <v>24</v>
      </c>
      <c r="D1600" s="1" t="s">
        <v>3187</v>
      </c>
      <c r="E1600" s="1" t="s">
        <v>3188</v>
      </c>
      <c r="F1600" s="2">
        <v>614</v>
      </c>
      <c r="G1600" s="3">
        <v>51.1</v>
      </c>
      <c r="H1600" s="4" t="str">
        <f>IF(AND(A1600="Yes",C1600="School"),COUNTIFS($A$6:A1600,"Yes",$C$6:C1600,"School"),"")</f>
        <v/>
      </c>
    </row>
    <row r="1601" spans="1:8">
      <c r="A1601" s="13"/>
      <c r="B1601" s="1" t="s">
        <v>3167</v>
      </c>
      <c r="C1601" s="1" t="s">
        <v>24</v>
      </c>
      <c r="D1601" s="1" t="s">
        <v>3189</v>
      </c>
      <c r="E1601" s="1" t="s">
        <v>3190</v>
      </c>
      <c r="F1601" s="2">
        <v>95</v>
      </c>
      <c r="G1601" s="3">
        <v>40</v>
      </c>
      <c r="H1601" s="4" t="str">
        <f>IF(AND(A1601="Yes",C1601="School"),COUNTIFS($A$6:A1601,"Yes",$C$6:C1601,"School"),"")</f>
        <v/>
      </c>
    </row>
    <row r="1602" spans="1:8">
      <c r="A1602" s="13"/>
      <c r="B1602" s="1" t="s">
        <v>3167</v>
      </c>
      <c r="C1602" s="1" t="s">
        <v>24</v>
      </c>
      <c r="D1602" s="1" t="s">
        <v>3191</v>
      </c>
      <c r="E1602" s="1" t="s">
        <v>3192</v>
      </c>
      <c r="F1602" s="2">
        <v>469</v>
      </c>
      <c r="G1602" s="3">
        <v>57.4</v>
      </c>
      <c r="H1602" s="4" t="str">
        <f>IF(AND(A1602="Yes",C1602="School"),COUNTIFS($A$6:A1602,"Yes",$C$6:C1602,"School"),"")</f>
        <v/>
      </c>
    </row>
    <row r="1603" spans="1:8">
      <c r="A1603" s="13"/>
      <c r="B1603" s="1" t="s">
        <v>3193</v>
      </c>
      <c r="C1603" s="1" t="s">
        <v>40</v>
      </c>
      <c r="D1603" s="1" t="s">
        <v>41</v>
      </c>
      <c r="E1603" s="1" t="s">
        <v>3194</v>
      </c>
      <c r="F1603" s="2">
        <v>1927</v>
      </c>
      <c r="G1603" s="3">
        <v>50.4</v>
      </c>
      <c r="H1603" s="4" t="str">
        <f>IF(AND(A1603="Yes",C1603="School"),COUNTIFS($A$6:A1603,"Yes",$C$6:C1603,"School"),"")</f>
        <v/>
      </c>
    </row>
    <row r="1604" spans="1:8">
      <c r="A1604" s="13"/>
      <c r="B1604" s="1" t="s">
        <v>3193</v>
      </c>
      <c r="C1604" s="1" t="s">
        <v>24</v>
      </c>
      <c r="D1604" s="1" t="s">
        <v>3195</v>
      </c>
      <c r="E1604" s="1" t="s">
        <v>3196</v>
      </c>
      <c r="F1604" s="2">
        <v>351</v>
      </c>
      <c r="G1604" s="3">
        <v>56.7</v>
      </c>
      <c r="H1604" s="4" t="str">
        <f>IF(AND(A1604="Yes",C1604="School"),COUNTIFS($A$6:A1604,"Yes",$C$6:C1604,"School"),"")</f>
        <v/>
      </c>
    </row>
    <row r="1605" spans="1:8">
      <c r="A1605" s="13"/>
      <c r="B1605" s="1" t="s">
        <v>3193</v>
      </c>
      <c r="C1605" s="1" t="s">
        <v>24</v>
      </c>
      <c r="D1605" s="1" t="s">
        <v>3197</v>
      </c>
      <c r="E1605" s="1" t="s">
        <v>3198</v>
      </c>
      <c r="F1605" s="2">
        <v>110</v>
      </c>
      <c r="G1605" s="3">
        <v>66.400000000000006</v>
      </c>
      <c r="H1605" s="4" t="str">
        <f>IF(AND(A1605="Yes",C1605="School"),COUNTIFS($A$6:A1605,"Yes",$C$6:C1605,"School"),"")</f>
        <v/>
      </c>
    </row>
    <row r="1606" spans="1:8">
      <c r="A1606" s="13"/>
      <c r="B1606" s="1" t="s">
        <v>3193</v>
      </c>
      <c r="C1606" s="1" t="s">
        <v>24</v>
      </c>
      <c r="D1606" s="1" t="s">
        <v>3199</v>
      </c>
      <c r="E1606" s="1" t="s">
        <v>3200</v>
      </c>
      <c r="F1606" s="2">
        <v>239</v>
      </c>
      <c r="G1606" s="3">
        <v>47.3</v>
      </c>
      <c r="H1606" s="4" t="str">
        <f>IF(AND(A1606="Yes",C1606="School"),COUNTIFS($A$6:A1606,"Yes",$C$6:C1606,"School"),"")</f>
        <v/>
      </c>
    </row>
    <row r="1607" spans="1:8">
      <c r="A1607" s="13"/>
      <c r="B1607" s="1" t="s">
        <v>3193</v>
      </c>
      <c r="C1607" s="1" t="s">
        <v>24</v>
      </c>
      <c r="D1607" s="1" t="s">
        <v>3201</v>
      </c>
      <c r="E1607" s="1" t="s">
        <v>3202</v>
      </c>
      <c r="F1607" s="2">
        <v>353</v>
      </c>
      <c r="G1607" s="3">
        <v>42.2</v>
      </c>
      <c r="H1607" s="4" t="str">
        <f>IF(AND(A1607="Yes",C1607="School"),COUNTIFS($A$6:A1607,"Yes",$C$6:C1607,"School"),"")</f>
        <v/>
      </c>
    </row>
    <row r="1608" spans="1:8">
      <c r="A1608" s="13"/>
      <c r="B1608" s="1" t="s">
        <v>3193</v>
      </c>
      <c r="C1608" s="1" t="s">
        <v>24</v>
      </c>
      <c r="D1608" s="1" t="s">
        <v>3203</v>
      </c>
      <c r="E1608" s="1" t="s">
        <v>3204</v>
      </c>
      <c r="F1608" s="2">
        <v>421</v>
      </c>
      <c r="G1608" s="3">
        <v>49.6</v>
      </c>
      <c r="H1608" s="4" t="str">
        <f>IF(AND(A1608="Yes",C1608="School"),COUNTIFS($A$6:A1608,"Yes",$C$6:C1608,"School"),"")</f>
        <v/>
      </c>
    </row>
    <row r="1609" spans="1:8">
      <c r="A1609" s="13"/>
      <c r="B1609" s="1" t="s">
        <v>3193</v>
      </c>
      <c r="C1609" s="1" t="s">
        <v>24</v>
      </c>
      <c r="D1609" s="1" t="s">
        <v>3205</v>
      </c>
      <c r="E1609" s="1" t="s">
        <v>3206</v>
      </c>
      <c r="F1609" s="2">
        <v>14</v>
      </c>
      <c r="G1609" s="3">
        <v>71.400000000000006</v>
      </c>
      <c r="H1609" s="4" t="str">
        <f>IF(AND(A1609="Yes",C1609="School"),COUNTIFS($A$6:A1609,"Yes",$C$6:C1609,"School"),"")</f>
        <v/>
      </c>
    </row>
    <row r="1610" spans="1:8">
      <c r="A1610" s="13"/>
      <c r="B1610" s="1" t="s">
        <v>3193</v>
      </c>
      <c r="C1610" s="1" t="s">
        <v>24</v>
      </c>
      <c r="D1610" s="1" t="s">
        <v>3207</v>
      </c>
      <c r="E1610" s="1" t="s">
        <v>3208</v>
      </c>
      <c r="F1610" s="2">
        <v>439</v>
      </c>
      <c r="G1610" s="3">
        <v>49.9</v>
      </c>
      <c r="H1610" s="4" t="str">
        <f>IF(AND(A1610="Yes",C1610="School"),COUNTIFS($A$6:A1610,"Yes",$C$6:C1610,"School"),"")</f>
        <v/>
      </c>
    </row>
    <row r="1611" spans="1:8">
      <c r="A1611" s="13"/>
      <c r="B1611" s="1" t="s">
        <v>3209</v>
      </c>
      <c r="C1611" s="1" t="s">
        <v>24</v>
      </c>
      <c r="D1611" s="1" t="s">
        <v>3209</v>
      </c>
      <c r="E1611" s="1" t="s">
        <v>3210</v>
      </c>
      <c r="F1611" s="2">
        <v>410</v>
      </c>
      <c r="G1611" s="3" t="s">
        <v>3211</v>
      </c>
      <c r="H1611" s="4" t="str">
        <f>IF(AND(A1611="Yes",C1611="School"),COUNTIFS($A$6:A1611,"Yes",$C$6:C1611,"School"),"")</f>
        <v/>
      </c>
    </row>
    <row r="1612" spans="1:8">
      <c r="A1612" s="13"/>
      <c r="B1612" s="1" t="s">
        <v>3212</v>
      </c>
      <c r="C1612" s="1" t="s">
        <v>24</v>
      </c>
      <c r="D1612" s="1" t="s">
        <v>3212</v>
      </c>
      <c r="E1612" s="1" t="s">
        <v>3213</v>
      </c>
      <c r="F1612" s="2">
        <v>946</v>
      </c>
      <c r="G1612" s="3">
        <v>54.5</v>
      </c>
      <c r="H1612" s="4" t="str">
        <f>IF(AND(A1612="Yes",C1612="School"),COUNTIFS($A$6:A1612,"Yes",$C$6:C1612,"School"),"")</f>
        <v/>
      </c>
    </row>
    <row r="1613" spans="1:8">
      <c r="A1613" s="13"/>
      <c r="B1613" s="1" t="s">
        <v>3214</v>
      </c>
      <c r="C1613" s="1" t="s">
        <v>24</v>
      </c>
      <c r="D1613" s="1" t="s">
        <v>3214</v>
      </c>
      <c r="E1613" s="1" t="s">
        <v>3215</v>
      </c>
      <c r="F1613" s="2">
        <v>122</v>
      </c>
      <c r="G1613" s="3">
        <v>69.7</v>
      </c>
      <c r="H1613" s="4" t="str">
        <f>IF(AND(A1613="Yes",C1613="School"),COUNTIFS($A$6:A1613,"Yes",$C$6:C1613,"School"),"")</f>
        <v/>
      </c>
    </row>
    <row r="1614" spans="1:8">
      <c r="A1614" s="13"/>
      <c r="B1614" s="1" t="s">
        <v>3216</v>
      </c>
      <c r="C1614" s="1" t="s">
        <v>40</v>
      </c>
      <c r="D1614" s="1" t="s">
        <v>41</v>
      </c>
      <c r="E1614" s="1" t="s">
        <v>3217</v>
      </c>
      <c r="F1614" s="2">
        <v>2491</v>
      </c>
      <c r="G1614" s="3">
        <v>66</v>
      </c>
      <c r="H1614" s="4" t="str">
        <f>IF(AND(A1614="Yes",C1614="School"),COUNTIFS($A$6:A1614,"Yes",$C$6:C1614,"School"),"")</f>
        <v/>
      </c>
    </row>
    <row r="1615" spans="1:8">
      <c r="A1615" s="13"/>
      <c r="B1615" s="1" t="s">
        <v>3216</v>
      </c>
      <c r="C1615" s="1" t="s">
        <v>24</v>
      </c>
      <c r="D1615" s="1" t="s">
        <v>3218</v>
      </c>
      <c r="E1615" s="1" t="s">
        <v>3219</v>
      </c>
      <c r="F1615" s="2">
        <v>226</v>
      </c>
      <c r="G1615" s="3">
        <v>76.099999999999994</v>
      </c>
      <c r="H1615" s="4" t="str">
        <f>IF(AND(A1615="Yes",C1615="School"),COUNTIFS($A$6:A1615,"Yes",$C$6:C1615,"School"),"")</f>
        <v/>
      </c>
    </row>
    <row r="1616" spans="1:8">
      <c r="A1616" s="13"/>
      <c r="B1616" s="1" t="s">
        <v>3216</v>
      </c>
      <c r="C1616" s="1" t="s">
        <v>24</v>
      </c>
      <c r="D1616" s="1" t="s">
        <v>3220</v>
      </c>
      <c r="E1616" s="1" t="s">
        <v>3221</v>
      </c>
      <c r="F1616" s="2">
        <v>199</v>
      </c>
      <c r="G1616" s="3">
        <v>52.8</v>
      </c>
      <c r="H1616" s="4" t="str">
        <f>IF(AND(A1616="Yes",C1616="School"),COUNTIFS($A$6:A1616,"Yes",$C$6:C1616,"School"),"")</f>
        <v/>
      </c>
    </row>
    <row r="1617" spans="1:8">
      <c r="A1617" s="13"/>
      <c r="B1617" s="1" t="s">
        <v>3216</v>
      </c>
      <c r="C1617" s="1" t="s">
        <v>24</v>
      </c>
      <c r="D1617" s="1" t="s">
        <v>3222</v>
      </c>
      <c r="E1617" s="1" t="s">
        <v>3223</v>
      </c>
      <c r="F1617" s="2">
        <v>528</v>
      </c>
      <c r="G1617" s="3">
        <v>72.2</v>
      </c>
      <c r="H1617" s="4" t="str">
        <f>IF(AND(A1617="Yes",C1617="School"),COUNTIFS($A$6:A1617,"Yes",$C$6:C1617,"School"),"")</f>
        <v/>
      </c>
    </row>
    <row r="1618" spans="1:8">
      <c r="A1618" s="13"/>
      <c r="B1618" s="1" t="s">
        <v>3216</v>
      </c>
      <c r="C1618" s="1" t="s">
        <v>24</v>
      </c>
      <c r="D1618" s="1" t="s">
        <v>3224</v>
      </c>
      <c r="E1618" s="1" t="s">
        <v>3225</v>
      </c>
      <c r="F1618" s="2">
        <v>151</v>
      </c>
      <c r="G1618" s="3">
        <v>35.799999999999997</v>
      </c>
      <c r="H1618" s="4" t="str">
        <f>IF(AND(A1618="Yes",C1618="School"),COUNTIFS($A$6:A1618,"Yes",$C$6:C1618,"School"),"")</f>
        <v/>
      </c>
    </row>
    <row r="1619" spans="1:8">
      <c r="A1619" s="13"/>
      <c r="B1619" s="1" t="s">
        <v>3216</v>
      </c>
      <c r="C1619" s="1" t="s">
        <v>24</v>
      </c>
      <c r="D1619" s="1" t="s">
        <v>3226</v>
      </c>
      <c r="E1619" s="1" t="s">
        <v>3227</v>
      </c>
      <c r="F1619" s="2">
        <v>309</v>
      </c>
      <c r="G1619" s="3">
        <v>58.9</v>
      </c>
      <c r="H1619" s="4" t="str">
        <f>IF(AND(A1619="Yes",C1619="School"),COUNTIFS($A$6:A1619,"Yes",$C$6:C1619,"School"),"")</f>
        <v/>
      </c>
    </row>
    <row r="1620" spans="1:8">
      <c r="A1620" s="13"/>
      <c r="B1620" s="1" t="s">
        <v>3216</v>
      </c>
      <c r="C1620" s="1" t="s">
        <v>24</v>
      </c>
      <c r="D1620" s="1" t="s">
        <v>3228</v>
      </c>
      <c r="E1620" s="1" t="s">
        <v>3229</v>
      </c>
      <c r="F1620" s="2">
        <v>200</v>
      </c>
      <c r="G1620" s="3">
        <v>47</v>
      </c>
      <c r="H1620" s="4" t="str">
        <f>IF(AND(A1620="Yes",C1620="School"),COUNTIFS($A$6:A1620,"Yes",$C$6:C1620,"School"),"")</f>
        <v/>
      </c>
    </row>
    <row r="1621" spans="1:8">
      <c r="A1621" s="13"/>
      <c r="B1621" s="1" t="s">
        <v>3216</v>
      </c>
      <c r="C1621" s="1" t="s">
        <v>24</v>
      </c>
      <c r="D1621" s="1" t="s">
        <v>3230</v>
      </c>
      <c r="E1621" s="1" t="s">
        <v>3231</v>
      </c>
      <c r="F1621" s="2">
        <v>334</v>
      </c>
      <c r="G1621" s="3">
        <v>78.099999999999994</v>
      </c>
      <c r="H1621" s="4" t="str">
        <f>IF(AND(A1621="Yes",C1621="School"),COUNTIFS($A$6:A1621,"Yes",$C$6:C1621,"School"),"")</f>
        <v/>
      </c>
    </row>
    <row r="1622" spans="1:8">
      <c r="A1622" s="13"/>
      <c r="B1622" s="1" t="s">
        <v>3216</v>
      </c>
      <c r="C1622" s="1" t="s">
        <v>24</v>
      </c>
      <c r="D1622" s="1" t="s">
        <v>3232</v>
      </c>
      <c r="E1622" s="1" t="s">
        <v>3233</v>
      </c>
      <c r="F1622" s="2">
        <v>138</v>
      </c>
      <c r="G1622" s="3">
        <v>75.400000000000006</v>
      </c>
      <c r="H1622" s="4" t="str">
        <f>IF(AND(A1622="Yes",C1622="School"),COUNTIFS($A$6:A1622,"Yes",$C$6:C1622,"School"),"")</f>
        <v/>
      </c>
    </row>
    <row r="1623" spans="1:8">
      <c r="A1623" s="13"/>
      <c r="B1623" s="1" t="s">
        <v>3216</v>
      </c>
      <c r="C1623" s="1" t="s">
        <v>24</v>
      </c>
      <c r="D1623" s="1" t="s">
        <v>3234</v>
      </c>
      <c r="E1623" s="1" t="s">
        <v>3235</v>
      </c>
      <c r="F1623" s="2">
        <v>406</v>
      </c>
      <c r="G1623" s="3">
        <v>71.400000000000006</v>
      </c>
      <c r="H1623" s="4" t="str">
        <f>IF(AND(A1623="Yes",C1623="School"),COUNTIFS($A$6:A1623,"Yes",$C$6:C1623,"School"),"")</f>
        <v/>
      </c>
    </row>
    <row r="1624" spans="1:8">
      <c r="A1624" s="13"/>
      <c r="B1624" s="1" t="s">
        <v>3236</v>
      </c>
      <c r="C1624" s="1" t="s">
        <v>24</v>
      </c>
      <c r="D1624" s="1" t="s">
        <v>3236</v>
      </c>
      <c r="E1624" s="1" t="s">
        <v>3237</v>
      </c>
      <c r="F1624" s="2">
        <v>753</v>
      </c>
      <c r="G1624" s="3">
        <v>59.5</v>
      </c>
      <c r="H1624" s="4" t="str">
        <f>IF(AND(A1624="Yes",C1624="School"),COUNTIFS($A$6:A1624,"Yes",$C$6:C1624,"School"),"")</f>
        <v/>
      </c>
    </row>
    <row r="1625" spans="1:8">
      <c r="A1625" s="13"/>
      <c r="B1625" s="1" t="s">
        <v>3238</v>
      </c>
      <c r="C1625" s="1" t="s">
        <v>24</v>
      </c>
      <c r="D1625" s="1" t="s">
        <v>3238</v>
      </c>
      <c r="E1625" s="1" t="s">
        <v>3239</v>
      </c>
      <c r="F1625" s="2">
        <v>602</v>
      </c>
      <c r="G1625" s="3">
        <v>72.8</v>
      </c>
      <c r="H1625" s="4" t="str">
        <f>IF(AND(A1625="Yes",C1625="School"),COUNTIFS($A$6:A1625,"Yes",$C$6:C1625,"School"),"")</f>
        <v/>
      </c>
    </row>
    <row r="1626" spans="1:8">
      <c r="A1626" s="13"/>
      <c r="B1626" s="1" t="s">
        <v>3240</v>
      </c>
      <c r="C1626" s="1" t="s">
        <v>40</v>
      </c>
      <c r="D1626" s="1" t="s">
        <v>41</v>
      </c>
      <c r="E1626" s="1" t="s">
        <v>3241</v>
      </c>
      <c r="F1626" s="2">
        <v>5490</v>
      </c>
      <c r="G1626" s="3">
        <v>54</v>
      </c>
      <c r="H1626" s="4" t="str">
        <f>IF(AND(A1626="Yes",C1626="School"),COUNTIFS($A$6:A1626,"Yes",$C$6:C1626,"School"),"")</f>
        <v/>
      </c>
    </row>
    <row r="1627" spans="1:8">
      <c r="A1627" s="13"/>
      <c r="B1627" s="1" t="s">
        <v>3240</v>
      </c>
      <c r="C1627" s="1" t="s">
        <v>24</v>
      </c>
      <c r="D1627" s="1" t="s">
        <v>3242</v>
      </c>
      <c r="E1627" s="1" t="s">
        <v>3243</v>
      </c>
      <c r="F1627" s="2">
        <v>347</v>
      </c>
      <c r="G1627" s="3">
        <v>62.2</v>
      </c>
      <c r="H1627" s="4" t="str">
        <f>IF(AND(A1627="Yes",C1627="School"),COUNTIFS($A$6:A1627,"Yes",$C$6:C1627,"School"),"")</f>
        <v/>
      </c>
    </row>
    <row r="1628" spans="1:8">
      <c r="A1628" s="13"/>
      <c r="B1628" s="1" t="s">
        <v>3240</v>
      </c>
      <c r="C1628" s="1" t="s">
        <v>24</v>
      </c>
      <c r="D1628" s="1" t="s">
        <v>3244</v>
      </c>
      <c r="E1628" s="1" t="s">
        <v>3245</v>
      </c>
      <c r="F1628" s="2">
        <v>278</v>
      </c>
      <c r="G1628" s="3">
        <v>69.400000000000006</v>
      </c>
      <c r="H1628" s="4" t="str">
        <f>IF(AND(A1628="Yes",C1628="School"),COUNTIFS($A$6:A1628,"Yes",$C$6:C1628,"School"),"")</f>
        <v/>
      </c>
    </row>
    <row r="1629" spans="1:8">
      <c r="A1629" s="13"/>
      <c r="B1629" s="1" t="s">
        <v>3240</v>
      </c>
      <c r="C1629" s="1" t="s">
        <v>24</v>
      </c>
      <c r="D1629" s="1" t="s">
        <v>3246</v>
      </c>
      <c r="E1629" s="1" t="s">
        <v>3247</v>
      </c>
      <c r="F1629" s="2">
        <v>205</v>
      </c>
      <c r="G1629" s="3">
        <v>29.8</v>
      </c>
      <c r="H1629" s="4" t="str">
        <f>IF(AND(A1629="Yes",C1629="School"),COUNTIFS($A$6:A1629,"Yes",$C$6:C1629,"School"),"")</f>
        <v/>
      </c>
    </row>
    <row r="1630" spans="1:8">
      <c r="A1630" s="13"/>
      <c r="B1630" s="1" t="s">
        <v>3240</v>
      </c>
      <c r="C1630" s="1" t="s">
        <v>24</v>
      </c>
      <c r="D1630" s="1" t="s">
        <v>3248</v>
      </c>
      <c r="E1630" s="1" t="s">
        <v>3249</v>
      </c>
      <c r="F1630" s="2">
        <v>419</v>
      </c>
      <c r="G1630" s="3">
        <v>50.8</v>
      </c>
      <c r="H1630" s="4" t="str">
        <f>IF(AND(A1630="Yes",C1630="School"),COUNTIFS($A$6:A1630,"Yes",$C$6:C1630,"School"),"")</f>
        <v/>
      </c>
    </row>
    <row r="1631" spans="1:8">
      <c r="A1631" s="13"/>
      <c r="B1631" s="1" t="s">
        <v>3240</v>
      </c>
      <c r="C1631" s="1" t="s">
        <v>24</v>
      </c>
      <c r="D1631" s="1" t="s">
        <v>3250</v>
      </c>
      <c r="E1631" s="1" t="s">
        <v>3251</v>
      </c>
      <c r="F1631" s="2">
        <v>352</v>
      </c>
      <c r="G1631" s="3">
        <v>65.3</v>
      </c>
      <c r="H1631" s="4" t="str">
        <f>IF(AND(A1631="Yes",C1631="School"),COUNTIFS($A$6:A1631,"Yes",$C$6:C1631,"School"),"")</f>
        <v/>
      </c>
    </row>
    <row r="1632" spans="1:8">
      <c r="A1632" s="13"/>
      <c r="B1632" s="1" t="s">
        <v>3240</v>
      </c>
      <c r="C1632" s="1" t="s">
        <v>24</v>
      </c>
      <c r="D1632" s="1" t="s">
        <v>3252</v>
      </c>
      <c r="E1632" s="1" t="s">
        <v>3253</v>
      </c>
      <c r="F1632" s="2">
        <v>174</v>
      </c>
      <c r="G1632" s="3">
        <v>35.1</v>
      </c>
      <c r="H1632" s="4" t="str">
        <f>IF(AND(A1632="Yes",C1632="School"),COUNTIFS($A$6:A1632,"Yes",$C$6:C1632,"School"),"")</f>
        <v/>
      </c>
    </row>
    <row r="1633" spans="1:8">
      <c r="A1633" s="13"/>
      <c r="B1633" s="1" t="s">
        <v>3240</v>
      </c>
      <c r="C1633" s="1" t="s">
        <v>24</v>
      </c>
      <c r="D1633" s="1" t="s">
        <v>3254</v>
      </c>
      <c r="E1633" s="1" t="s">
        <v>3255</v>
      </c>
      <c r="F1633" s="2">
        <v>209</v>
      </c>
      <c r="G1633" s="3">
        <v>31.6</v>
      </c>
      <c r="H1633" s="4" t="str">
        <f>IF(AND(A1633="Yes",C1633="School"),COUNTIFS($A$6:A1633,"Yes",$C$6:C1633,"School"),"")</f>
        <v/>
      </c>
    </row>
    <row r="1634" spans="1:8">
      <c r="A1634" s="13"/>
      <c r="B1634" s="1" t="s">
        <v>3240</v>
      </c>
      <c r="C1634" s="1" t="s">
        <v>24</v>
      </c>
      <c r="D1634" s="1" t="s">
        <v>3256</v>
      </c>
      <c r="E1634" s="1" t="s">
        <v>3257</v>
      </c>
      <c r="F1634" s="2">
        <v>1220</v>
      </c>
      <c r="G1634" s="3">
        <v>50.7</v>
      </c>
      <c r="H1634" s="4" t="str">
        <f>IF(AND(A1634="Yes",C1634="School"),COUNTIFS($A$6:A1634,"Yes",$C$6:C1634,"School"),"")</f>
        <v/>
      </c>
    </row>
    <row r="1635" spans="1:8">
      <c r="A1635" s="13"/>
      <c r="B1635" s="1" t="s">
        <v>3240</v>
      </c>
      <c r="C1635" s="1" t="s">
        <v>24</v>
      </c>
      <c r="D1635" s="1" t="s">
        <v>3258</v>
      </c>
      <c r="E1635" s="1" t="s">
        <v>3259</v>
      </c>
      <c r="F1635" s="2">
        <v>390</v>
      </c>
      <c r="G1635" s="3">
        <v>56.4</v>
      </c>
      <c r="H1635" s="4" t="str">
        <f>IF(AND(A1635="Yes",C1635="School"),COUNTIFS($A$6:A1635,"Yes",$C$6:C1635,"School"),"")</f>
        <v/>
      </c>
    </row>
    <row r="1636" spans="1:8">
      <c r="A1636" s="13"/>
      <c r="B1636" s="1" t="s">
        <v>3240</v>
      </c>
      <c r="C1636" s="1" t="s">
        <v>24</v>
      </c>
      <c r="D1636" s="1" t="s">
        <v>3260</v>
      </c>
      <c r="E1636" s="1" t="s">
        <v>3261</v>
      </c>
      <c r="F1636" s="2">
        <v>232</v>
      </c>
      <c r="G1636" s="3">
        <v>59.9</v>
      </c>
      <c r="H1636" s="4" t="str">
        <f>IF(AND(A1636="Yes",C1636="School"),COUNTIFS($A$6:A1636,"Yes",$C$6:C1636,"School"),"")</f>
        <v/>
      </c>
    </row>
    <row r="1637" spans="1:8">
      <c r="A1637" s="13"/>
      <c r="B1637" s="1" t="s">
        <v>3240</v>
      </c>
      <c r="C1637" s="1" t="s">
        <v>24</v>
      </c>
      <c r="D1637" s="1" t="s">
        <v>3262</v>
      </c>
      <c r="E1637" s="1" t="s">
        <v>3263</v>
      </c>
      <c r="F1637" s="2">
        <v>345</v>
      </c>
      <c r="G1637" s="3">
        <v>57.7</v>
      </c>
      <c r="H1637" s="4" t="str">
        <f>IF(AND(A1637="Yes",C1637="School"),COUNTIFS($A$6:A1637,"Yes",$C$6:C1637,"School"),"")</f>
        <v/>
      </c>
    </row>
    <row r="1638" spans="1:8">
      <c r="A1638" s="13"/>
      <c r="B1638" s="1" t="s">
        <v>3240</v>
      </c>
      <c r="C1638" s="1" t="s">
        <v>24</v>
      </c>
      <c r="D1638" s="1" t="s">
        <v>3264</v>
      </c>
      <c r="E1638" s="1" t="s">
        <v>3265</v>
      </c>
      <c r="F1638" s="2">
        <v>291</v>
      </c>
      <c r="G1638" s="3">
        <v>50.2</v>
      </c>
      <c r="H1638" s="4" t="str">
        <f>IF(AND(A1638="Yes",C1638="School"),COUNTIFS($A$6:A1638,"Yes",$C$6:C1638,"School"),"")</f>
        <v/>
      </c>
    </row>
    <row r="1639" spans="1:8">
      <c r="A1639" s="13"/>
      <c r="B1639" s="1" t="s">
        <v>3240</v>
      </c>
      <c r="C1639" s="1" t="s">
        <v>24</v>
      </c>
      <c r="D1639" s="1" t="s">
        <v>3266</v>
      </c>
      <c r="E1639" s="1" t="s">
        <v>3267</v>
      </c>
      <c r="F1639" s="2">
        <v>91</v>
      </c>
      <c r="G1639" s="3">
        <v>86.8</v>
      </c>
      <c r="H1639" s="4" t="str">
        <f>IF(AND(A1639="Yes",C1639="School"),COUNTIFS($A$6:A1639,"Yes",$C$6:C1639,"School"),"")</f>
        <v/>
      </c>
    </row>
    <row r="1640" spans="1:8">
      <c r="A1640" s="13"/>
      <c r="B1640" s="1" t="s">
        <v>3240</v>
      </c>
      <c r="C1640" s="1" t="s">
        <v>24</v>
      </c>
      <c r="D1640" s="1" t="s">
        <v>3268</v>
      </c>
      <c r="E1640" s="1" t="s">
        <v>3269</v>
      </c>
      <c r="F1640" s="2">
        <v>371</v>
      </c>
      <c r="G1640" s="3">
        <v>59.6</v>
      </c>
      <c r="H1640" s="4" t="str">
        <f>IF(AND(A1640="Yes",C1640="School"),COUNTIFS($A$6:A1640,"Yes",$C$6:C1640,"School"),"")</f>
        <v/>
      </c>
    </row>
    <row r="1641" spans="1:8">
      <c r="A1641" s="13"/>
      <c r="B1641" s="1" t="s">
        <v>3240</v>
      </c>
      <c r="C1641" s="1" t="s">
        <v>24</v>
      </c>
      <c r="D1641" s="1" t="s">
        <v>3270</v>
      </c>
      <c r="E1641" s="1" t="s">
        <v>3271</v>
      </c>
      <c r="F1641" s="2">
        <v>566</v>
      </c>
      <c r="G1641" s="3">
        <v>53.2</v>
      </c>
      <c r="H1641" s="4" t="str">
        <f>IF(AND(A1641="Yes",C1641="School"),COUNTIFS($A$6:A1641,"Yes",$C$6:C1641,"School"),"")</f>
        <v/>
      </c>
    </row>
    <row r="1642" spans="1:8">
      <c r="A1642" s="13"/>
      <c r="B1642" s="1" t="s">
        <v>3272</v>
      </c>
      <c r="C1642" s="1" t="s">
        <v>24</v>
      </c>
      <c r="D1642" s="1" t="s">
        <v>3272</v>
      </c>
      <c r="E1642" s="1" t="s">
        <v>3273</v>
      </c>
      <c r="F1642" s="2">
        <v>394</v>
      </c>
      <c r="G1642" s="3" t="s">
        <v>3211</v>
      </c>
      <c r="H1642" s="4" t="str">
        <f>IF(AND(A1642="Yes",C1642="School"),COUNTIFS($A$6:A1642,"Yes",$C$6:C1642,"School"),"")</f>
        <v/>
      </c>
    </row>
    <row r="1643" spans="1:8">
      <c r="A1643" s="13"/>
      <c r="B1643" s="1" t="s">
        <v>3274</v>
      </c>
      <c r="C1643" s="1" t="s">
        <v>24</v>
      </c>
      <c r="D1643" s="1" t="s">
        <v>3274</v>
      </c>
      <c r="E1643" s="1" t="s">
        <v>3275</v>
      </c>
      <c r="F1643" s="2">
        <v>596</v>
      </c>
      <c r="G1643" s="3">
        <v>33.9</v>
      </c>
      <c r="H1643" s="4" t="str">
        <f>IF(AND(A1643="Yes",C1643="School"),COUNTIFS($A$6:A1643,"Yes",$C$6:C1643,"School"),"")</f>
        <v/>
      </c>
    </row>
    <row r="1644" spans="1:8">
      <c r="A1644" s="13"/>
      <c r="B1644" s="1" t="s">
        <v>3276</v>
      </c>
      <c r="C1644" s="1" t="s">
        <v>40</v>
      </c>
      <c r="D1644" s="1" t="s">
        <v>41</v>
      </c>
      <c r="E1644" s="1" t="s">
        <v>3277</v>
      </c>
      <c r="F1644" s="2">
        <v>1646</v>
      </c>
      <c r="G1644" s="3">
        <v>50.2</v>
      </c>
      <c r="H1644" s="4" t="str">
        <f>IF(AND(A1644="Yes",C1644="School"),COUNTIFS($A$6:A1644,"Yes",$C$6:C1644,"School"),"")</f>
        <v/>
      </c>
    </row>
    <row r="1645" spans="1:8">
      <c r="A1645" s="13"/>
      <c r="B1645" s="1" t="s">
        <v>3276</v>
      </c>
      <c r="C1645" s="1" t="s">
        <v>24</v>
      </c>
      <c r="D1645" s="1" t="s">
        <v>3278</v>
      </c>
      <c r="E1645" s="1" t="s">
        <v>3279</v>
      </c>
      <c r="F1645" s="2">
        <v>161</v>
      </c>
      <c r="G1645" s="3">
        <v>53.4</v>
      </c>
      <c r="H1645" s="4" t="str">
        <f>IF(AND(A1645="Yes",C1645="School"),COUNTIFS($A$6:A1645,"Yes",$C$6:C1645,"School"),"")</f>
        <v/>
      </c>
    </row>
    <row r="1646" spans="1:8">
      <c r="A1646" s="13"/>
      <c r="B1646" s="1" t="s">
        <v>3276</v>
      </c>
      <c r="C1646" s="1" t="s">
        <v>24</v>
      </c>
      <c r="D1646" s="1" t="s">
        <v>3280</v>
      </c>
      <c r="E1646" s="1" t="s">
        <v>3281</v>
      </c>
      <c r="F1646" s="2">
        <v>216</v>
      </c>
      <c r="G1646" s="3">
        <v>48.6</v>
      </c>
      <c r="H1646" s="4" t="str">
        <f>IF(AND(A1646="Yes",C1646="School"),COUNTIFS($A$6:A1646,"Yes",$C$6:C1646,"School"),"")</f>
        <v/>
      </c>
    </row>
    <row r="1647" spans="1:8">
      <c r="A1647" s="13"/>
      <c r="B1647" s="1" t="s">
        <v>3276</v>
      </c>
      <c r="C1647" s="1" t="s">
        <v>24</v>
      </c>
      <c r="D1647" s="1" t="s">
        <v>3282</v>
      </c>
      <c r="E1647" s="1" t="s">
        <v>3283</v>
      </c>
      <c r="F1647" s="2">
        <v>98</v>
      </c>
      <c r="G1647" s="3">
        <v>34.700000000000003</v>
      </c>
      <c r="H1647" s="4" t="str">
        <f>IF(AND(A1647="Yes",C1647="School"),COUNTIFS($A$6:A1647,"Yes",$C$6:C1647,"School"),"")</f>
        <v/>
      </c>
    </row>
    <row r="1648" spans="1:8">
      <c r="A1648" s="13"/>
      <c r="B1648" s="1" t="s">
        <v>3276</v>
      </c>
      <c r="C1648" s="1" t="s">
        <v>24</v>
      </c>
      <c r="D1648" s="1" t="s">
        <v>3284</v>
      </c>
      <c r="E1648" s="1" t="s">
        <v>3285</v>
      </c>
      <c r="F1648" s="2">
        <v>354</v>
      </c>
      <c r="G1648" s="3">
        <v>51.1</v>
      </c>
      <c r="H1648" s="4" t="str">
        <f>IF(AND(A1648="Yes",C1648="School"),COUNTIFS($A$6:A1648,"Yes",$C$6:C1648,"School"),"")</f>
        <v/>
      </c>
    </row>
    <row r="1649" spans="1:8">
      <c r="A1649" s="13"/>
      <c r="B1649" s="1" t="s">
        <v>3276</v>
      </c>
      <c r="C1649" s="1" t="s">
        <v>24</v>
      </c>
      <c r="D1649" s="1" t="s">
        <v>3286</v>
      </c>
      <c r="E1649" s="1" t="s">
        <v>3287</v>
      </c>
      <c r="F1649" s="2">
        <v>446</v>
      </c>
      <c r="G1649" s="3">
        <v>52</v>
      </c>
      <c r="H1649" s="4" t="str">
        <f>IF(AND(A1649="Yes",C1649="School"),COUNTIFS($A$6:A1649,"Yes",$C$6:C1649,"School"),"")</f>
        <v/>
      </c>
    </row>
    <row r="1650" spans="1:8">
      <c r="A1650" s="13"/>
      <c r="B1650" s="1" t="s">
        <v>3276</v>
      </c>
      <c r="C1650" s="1" t="s">
        <v>24</v>
      </c>
      <c r="D1650" s="1" t="s">
        <v>3288</v>
      </c>
      <c r="E1650" s="1" t="s">
        <v>3289</v>
      </c>
      <c r="F1650" s="2">
        <v>371</v>
      </c>
      <c r="G1650" s="3">
        <v>50.7</v>
      </c>
      <c r="H1650" s="4" t="str">
        <f>IF(AND(A1650="Yes",C1650="School"),COUNTIFS($A$6:A1650,"Yes",$C$6:C1650,"School"),"")</f>
        <v/>
      </c>
    </row>
    <row r="1651" spans="1:8">
      <c r="A1651" s="13"/>
      <c r="B1651" s="1" t="s">
        <v>3290</v>
      </c>
      <c r="C1651" s="1" t="s">
        <v>40</v>
      </c>
      <c r="D1651" s="1" t="s">
        <v>41</v>
      </c>
      <c r="E1651" s="1" t="s">
        <v>3291</v>
      </c>
      <c r="F1651" s="2">
        <v>3509</v>
      </c>
      <c r="G1651" s="3">
        <v>54.3</v>
      </c>
      <c r="H1651" s="4" t="str">
        <f>IF(AND(A1651="Yes",C1651="School"),COUNTIFS($A$6:A1651,"Yes",$C$6:C1651,"School"),"")</f>
        <v/>
      </c>
    </row>
    <row r="1652" spans="1:8">
      <c r="A1652" s="13"/>
      <c r="B1652" s="1" t="s">
        <v>3290</v>
      </c>
      <c r="C1652" s="1" t="s">
        <v>24</v>
      </c>
      <c r="D1652" s="1" t="s">
        <v>3292</v>
      </c>
      <c r="E1652" s="1" t="s">
        <v>3293</v>
      </c>
      <c r="F1652" s="2">
        <v>347</v>
      </c>
      <c r="G1652" s="3">
        <v>60.5</v>
      </c>
      <c r="H1652" s="4" t="str">
        <f>IF(AND(A1652="Yes",C1652="School"),COUNTIFS($A$6:A1652,"Yes",$C$6:C1652,"School"),"")</f>
        <v/>
      </c>
    </row>
    <row r="1653" spans="1:8">
      <c r="A1653" s="13"/>
      <c r="B1653" s="1" t="s">
        <v>3290</v>
      </c>
      <c r="C1653" s="1" t="s">
        <v>24</v>
      </c>
      <c r="D1653" s="1" t="s">
        <v>3294</v>
      </c>
      <c r="E1653" s="1" t="s">
        <v>3295</v>
      </c>
      <c r="F1653" s="2">
        <v>439</v>
      </c>
      <c r="G1653" s="3">
        <v>53.1</v>
      </c>
      <c r="H1653" s="4" t="str">
        <f>IF(AND(A1653="Yes",C1653="School"),COUNTIFS($A$6:A1653,"Yes",$C$6:C1653,"School"),"")</f>
        <v/>
      </c>
    </row>
    <row r="1654" spans="1:8">
      <c r="A1654" s="13"/>
      <c r="B1654" s="1" t="s">
        <v>3290</v>
      </c>
      <c r="C1654" s="1" t="s">
        <v>24</v>
      </c>
      <c r="D1654" s="1" t="s">
        <v>3296</v>
      </c>
      <c r="E1654" s="1" t="s">
        <v>3297</v>
      </c>
      <c r="F1654" s="2">
        <v>283</v>
      </c>
      <c r="G1654" s="3">
        <v>56.2</v>
      </c>
      <c r="H1654" s="4" t="str">
        <f>IF(AND(A1654="Yes",C1654="School"),COUNTIFS($A$6:A1654,"Yes",$C$6:C1654,"School"),"")</f>
        <v/>
      </c>
    </row>
    <row r="1655" spans="1:8">
      <c r="A1655" s="13"/>
      <c r="B1655" s="1" t="s">
        <v>3290</v>
      </c>
      <c r="C1655" s="1" t="s">
        <v>24</v>
      </c>
      <c r="D1655" s="1" t="s">
        <v>3298</v>
      </c>
      <c r="E1655" s="1" t="s">
        <v>3299</v>
      </c>
      <c r="F1655" s="2">
        <v>769</v>
      </c>
      <c r="G1655" s="3">
        <v>52</v>
      </c>
      <c r="H1655" s="4" t="str">
        <f>IF(AND(A1655="Yes",C1655="School"),COUNTIFS($A$6:A1655,"Yes",$C$6:C1655,"School"),"")</f>
        <v/>
      </c>
    </row>
    <row r="1656" spans="1:8">
      <c r="A1656" s="13"/>
      <c r="B1656" s="1" t="s">
        <v>3290</v>
      </c>
      <c r="C1656" s="1" t="s">
        <v>24</v>
      </c>
      <c r="D1656" s="1" t="s">
        <v>3300</v>
      </c>
      <c r="E1656" s="1" t="s">
        <v>3301</v>
      </c>
      <c r="F1656" s="2">
        <v>278</v>
      </c>
      <c r="G1656" s="3">
        <v>30.6</v>
      </c>
      <c r="H1656" s="4" t="str">
        <f>IF(AND(A1656="Yes",C1656="School"),COUNTIFS($A$6:A1656,"Yes",$C$6:C1656,"School"),"")</f>
        <v/>
      </c>
    </row>
    <row r="1657" spans="1:8">
      <c r="A1657" s="13"/>
      <c r="B1657" s="1" t="s">
        <v>3290</v>
      </c>
      <c r="C1657" s="1" t="s">
        <v>24</v>
      </c>
      <c r="D1657" s="1" t="s">
        <v>3302</v>
      </c>
      <c r="E1657" s="1" t="s">
        <v>3303</v>
      </c>
      <c r="F1657" s="2">
        <v>41</v>
      </c>
      <c r="G1657" s="3">
        <v>80.5</v>
      </c>
      <c r="H1657" s="4" t="str">
        <f>IF(AND(A1657="Yes",C1657="School"),COUNTIFS($A$6:A1657,"Yes",$C$6:C1657,"School"),"")</f>
        <v/>
      </c>
    </row>
    <row r="1658" spans="1:8">
      <c r="A1658" s="13"/>
      <c r="B1658" s="1" t="s">
        <v>3290</v>
      </c>
      <c r="C1658" s="1" t="s">
        <v>24</v>
      </c>
      <c r="D1658" s="1" t="s">
        <v>3304</v>
      </c>
      <c r="E1658" s="1" t="s">
        <v>3305</v>
      </c>
      <c r="F1658" s="2">
        <v>189</v>
      </c>
      <c r="G1658" s="3">
        <v>70.400000000000006</v>
      </c>
      <c r="H1658" s="4" t="str">
        <f>IF(AND(A1658="Yes",C1658="School"),COUNTIFS($A$6:A1658,"Yes",$C$6:C1658,"School"),"")</f>
        <v/>
      </c>
    </row>
    <row r="1659" spans="1:8">
      <c r="A1659" s="13"/>
      <c r="B1659" s="1" t="s">
        <v>3290</v>
      </c>
      <c r="C1659" s="1" t="s">
        <v>24</v>
      </c>
      <c r="D1659" s="1" t="s">
        <v>3306</v>
      </c>
      <c r="E1659" s="1" t="s">
        <v>3307</v>
      </c>
      <c r="F1659" s="2">
        <v>254</v>
      </c>
      <c r="G1659" s="3">
        <v>53.1</v>
      </c>
      <c r="H1659" s="4" t="str">
        <f>IF(AND(A1659="Yes",C1659="School"),COUNTIFS($A$6:A1659,"Yes",$C$6:C1659,"School"),"")</f>
        <v/>
      </c>
    </row>
    <row r="1660" spans="1:8">
      <c r="A1660" s="13"/>
      <c r="B1660" s="1" t="s">
        <v>3290</v>
      </c>
      <c r="C1660" s="1" t="s">
        <v>24</v>
      </c>
      <c r="D1660" s="1" t="s">
        <v>3308</v>
      </c>
      <c r="E1660" s="1" t="s">
        <v>3309</v>
      </c>
      <c r="F1660" s="2">
        <v>282</v>
      </c>
      <c r="G1660" s="3">
        <v>52.5</v>
      </c>
      <c r="H1660" s="4" t="str">
        <f>IF(AND(A1660="Yes",C1660="School"),COUNTIFS($A$6:A1660,"Yes",$C$6:C1660,"School"),"")</f>
        <v/>
      </c>
    </row>
    <row r="1661" spans="1:8">
      <c r="A1661" s="13"/>
      <c r="B1661" s="1" t="s">
        <v>3290</v>
      </c>
      <c r="C1661" s="1" t="s">
        <v>24</v>
      </c>
      <c r="D1661" s="1" t="s">
        <v>3310</v>
      </c>
      <c r="E1661" s="1" t="s">
        <v>3311</v>
      </c>
      <c r="F1661" s="2">
        <v>281</v>
      </c>
      <c r="G1661" s="3">
        <v>60.5</v>
      </c>
      <c r="H1661" s="4" t="str">
        <f>IF(AND(A1661="Yes",C1661="School"),COUNTIFS($A$6:A1661,"Yes",$C$6:C1661,"School"),"")</f>
        <v/>
      </c>
    </row>
    <row r="1662" spans="1:8">
      <c r="A1662" s="13"/>
      <c r="B1662" s="1" t="s">
        <v>3290</v>
      </c>
      <c r="C1662" s="1" t="s">
        <v>24</v>
      </c>
      <c r="D1662" s="1" t="s">
        <v>3312</v>
      </c>
      <c r="E1662" s="1" t="s">
        <v>3313</v>
      </c>
      <c r="F1662" s="2">
        <v>346</v>
      </c>
      <c r="G1662" s="3">
        <v>57.5</v>
      </c>
      <c r="H1662" s="4" t="str">
        <f>IF(AND(A1662="Yes",C1662="School"),COUNTIFS($A$6:A1662,"Yes",$C$6:C1662,"School"),"")</f>
        <v/>
      </c>
    </row>
    <row r="1663" spans="1:8">
      <c r="A1663" s="13"/>
      <c r="B1663" s="1" t="s">
        <v>3314</v>
      </c>
      <c r="C1663" s="1" t="s">
        <v>40</v>
      </c>
      <c r="D1663" s="1" t="s">
        <v>41</v>
      </c>
      <c r="E1663" s="1" t="s">
        <v>3315</v>
      </c>
      <c r="F1663" s="2">
        <v>12994</v>
      </c>
      <c r="G1663" s="3">
        <v>37.5</v>
      </c>
      <c r="H1663" s="4" t="str">
        <f>IF(AND(A1663="Yes",C1663="School"),COUNTIFS($A$6:A1663,"Yes",$C$6:C1663,"School"),"")</f>
        <v/>
      </c>
    </row>
    <row r="1664" spans="1:8">
      <c r="A1664" s="13"/>
      <c r="B1664" s="1" t="s">
        <v>3314</v>
      </c>
      <c r="C1664" s="1" t="s">
        <v>24</v>
      </c>
      <c r="D1664" s="1" t="s">
        <v>3316</v>
      </c>
      <c r="E1664" s="1" t="s">
        <v>3317</v>
      </c>
      <c r="F1664" s="2">
        <v>663</v>
      </c>
      <c r="G1664" s="3">
        <v>62</v>
      </c>
      <c r="H1664" s="4" t="str">
        <f>IF(AND(A1664="Yes",C1664="School"),COUNTIFS($A$6:A1664,"Yes",$C$6:C1664,"School"),"")</f>
        <v/>
      </c>
    </row>
    <row r="1665" spans="1:8">
      <c r="A1665" s="13"/>
      <c r="B1665" s="1" t="s">
        <v>3314</v>
      </c>
      <c r="C1665" s="1" t="s">
        <v>24</v>
      </c>
      <c r="D1665" s="1" t="s">
        <v>3318</v>
      </c>
      <c r="E1665" s="1" t="s">
        <v>3319</v>
      </c>
      <c r="F1665" s="2">
        <v>220</v>
      </c>
      <c r="G1665" s="3">
        <v>52.7</v>
      </c>
      <c r="H1665" s="4" t="str">
        <f>IF(AND(A1665="Yes",C1665="School"),COUNTIFS($A$6:A1665,"Yes",$C$6:C1665,"School"),"")</f>
        <v/>
      </c>
    </row>
    <row r="1666" spans="1:8">
      <c r="A1666" s="13"/>
      <c r="B1666" s="1" t="s">
        <v>3314</v>
      </c>
      <c r="C1666" s="1" t="s">
        <v>24</v>
      </c>
      <c r="D1666" s="1" t="s">
        <v>3320</v>
      </c>
      <c r="E1666" s="1" t="s">
        <v>3321</v>
      </c>
      <c r="F1666" s="2">
        <v>347</v>
      </c>
      <c r="G1666" s="3">
        <v>50.4</v>
      </c>
      <c r="H1666" s="4" t="str">
        <f>IF(AND(A1666="Yes",C1666="School"),COUNTIFS($A$6:A1666,"Yes",$C$6:C1666,"School"),"")</f>
        <v/>
      </c>
    </row>
    <row r="1667" spans="1:8">
      <c r="A1667" s="13"/>
      <c r="B1667" s="1" t="s">
        <v>3314</v>
      </c>
      <c r="C1667" s="1" t="s">
        <v>24</v>
      </c>
      <c r="D1667" s="1" t="s">
        <v>3322</v>
      </c>
      <c r="E1667" s="1" t="s">
        <v>3323</v>
      </c>
      <c r="F1667" s="2">
        <v>314</v>
      </c>
      <c r="G1667" s="3">
        <v>26.8</v>
      </c>
      <c r="H1667" s="4" t="str">
        <f>IF(AND(A1667="Yes",C1667="School"),COUNTIFS($A$6:A1667,"Yes",$C$6:C1667,"School"),"")</f>
        <v/>
      </c>
    </row>
    <row r="1668" spans="1:8">
      <c r="A1668" s="13"/>
      <c r="B1668" s="1" t="s">
        <v>3314</v>
      </c>
      <c r="C1668" s="1" t="s">
        <v>24</v>
      </c>
      <c r="D1668" s="1" t="s">
        <v>3324</v>
      </c>
      <c r="E1668" s="1" t="s">
        <v>3325</v>
      </c>
      <c r="F1668" s="2">
        <v>455</v>
      </c>
      <c r="G1668" s="3">
        <v>43.7</v>
      </c>
      <c r="H1668" s="4" t="str">
        <f>IF(AND(A1668="Yes",C1668="School"),COUNTIFS($A$6:A1668,"Yes",$C$6:C1668,"School"),"")</f>
        <v/>
      </c>
    </row>
    <row r="1669" spans="1:8">
      <c r="A1669" s="13"/>
      <c r="B1669" s="1" t="s">
        <v>3314</v>
      </c>
      <c r="C1669" s="1" t="s">
        <v>24</v>
      </c>
      <c r="D1669" s="1" t="s">
        <v>3326</v>
      </c>
      <c r="E1669" s="1" t="s">
        <v>3327</v>
      </c>
      <c r="F1669" s="2">
        <v>182</v>
      </c>
      <c r="G1669" s="3">
        <v>64.3</v>
      </c>
      <c r="H1669" s="4" t="str">
        <f>IF(AND(A1669="Yes",C1669="School"),COUNTIFS($A$6:A1669,"Yes",$C$6:C1669,"School"),"")</f>
        <v/>
      </c>
    </row>
    <row r="1670" spans="1:8">
      <c r="A1670" s="13"/>
      <c r="B1670" s="1" t="s">
        <v>3314</v>
      </c>
      <c r="C1670" s="1" t="s">
        <v>24</v>
      </c>
      <c r="D1670" s="1" t="s">
        <v>3328</v>
      </c>
      <c r="E1670" s="1" t="s">
        <v>3329</v>
      </c>
      <c r="F1670" s="2">
        <v>302</v>
      </c>
      <c r="G1670" s="3">
        <v>41.4</v>
      </c>
      <c r="H1670" s="4" t="str">
        <f>IF(AND(A1670="Yes",C1670="School"),COUNTIFS($A$6:A1670,"Yes",$C$6:C1670,"School"),"")</f>
        <v/>
      </c>
    </row>
    <row r="1671" spans="1:8">
      <c r="A1671" s="13"/>
      <c r="B1671" s="1" t="s">
        <v>3314</v>
      </c>
      <c r="C1671" s="1" t="s">
        <v>24</v>
      </c>
      <c r="D1671" s="1" t="s">
        <v>3330</v>
      </c>
      <c r="E1671" s="1" t="s">
        <v>3331</v>
      </c>
      <c r="F1671" s="2">
        <v>695</v>
      </c>
      <c r="G1671" s="3">
        <v>19.100000000000001</v>
      </c>
      <c r="H1671" s="4" t="str">
        <f>IF(AND(A1671="Yes",C1671="School"),COUNTIFS($A$6:A1671,"Yes",$C$6:C1671,"School"),"")</f>
        <v/>
      </c>
    </row>
    <row r="1672" spans="1:8">
      <c r="A1672" s="13"/>
      <c r="B1672" s="1" t="s">
        <v>3314</v>
      </c>
      <c r="C1672" s="1" t="s">
        <v>24</v>
      </c>
      <c r="D1672" s="1" t="s">
        <v>3332</v>
      </c>
      <c r="E1672" s="1" t="s">
        <v>3333</v>
      </c>
      <c r="F1672" s="2">
        <v>62</v>
      </c>
      <c r="G1672" s="3">
        <v>35.5</v>
      </c>
      <c r="H1672" s="4" t="str">
        <f>IF(AND(A1672="Yes",C1672="School"),COUNTIFS($A$6:A1672,"Yes",$C$6:C1672,"School"),"")</f>
        <v/>
      </c>
    </row>
    <row r="1673" spans="1:8">
      <c r="A1673" s="13"/>
      <c r="B1673" s="1" t="s">
        <v>3314</v>
      </c>
      <c r="C1673" s="1" t="s">
        <v>24</v>
      </c>
      <c r="D1673" s="1" t="s">
        <v>3334</v>
      </c>
      <c r="E1673" s="1" t="s">
        <v>3335</v>
      </c>
      <c r="F1673" s="2">
        <v>654</v>
      </c>
      <c r="G1673" s="3">
        <v>28.9</v>
      </c>
      <c r="H1673" s="4" t="str">
        <f>IF(AND(A1673="Yes",C1673="School"),COUNTIFS($A$6:A1673,"Yes",$C$6:C1673,"School"),"")</f>
        <v/>
      </c>
    </row>
    <row r="1674" spans="1:8">
      <c r="A1674" s="13"/>
      <c r="B1674" s="1" t="s">
        <v>3314</v>
      </c>
      <c r="C1674" s="1" t="s">
        <v>24</v>
      </c>
      <c r="D1674" s="1" t="s">
        <v>3336</v>
      </c>
      <c r="E1674" s="1" t="s">
        <v>3337</v>
      </c>
      <c r="F1674" s="2">
        <v>532</v>
      </c>
      <c r="G1674" s="3">
        <v>50.9</v>
      </c>
      <c r="H1674" s="4" t="str">
        <f>IF(AND(A1674="Yes",C1674="School"),COUNTIFS($A$6:A1674,"Yes",$C$6:C1674,"School"),"")</f>
        <v/>
      </c>
    </row>
    <row r="1675" spans="1:8">
      <c r="A1675" s="13"/>
      <c r="B1675" s="1" t="s">
        <v>3314</v>
      </c>
      <c r="C1675" s="1" t="s">
        <v>24</v>
      </c>
      <c r="D1675" s="1" t="s">
        <v>3338</v>
      </c>
      <c r="E1675" s="1" t="s">
        <v>3339</v>
      </c>
      <c r="F1675" s="2">
        <v>2170</v>
      </c>
      <c r="G1675" s="3">
        <v>31.4</v>
      </c>
      <c r="H1675" s="4" t="str">
        <f>IF(AND(A1675="Yes",C1675="School"),COUNTIFS($A$6:A1675,"Yes",$C$6:C1675,"School"),"")</f>
        <v/>
      </c>
    </row>
    <row r="1676" spans="1:8">
      <c r="A1676" s="13"/>
      <c r="B1676" s="1" t="s">
        <v>3314</v>
      </c>
      <c r="C1676" s="1" t="s">
        <v>24</v>
      </c>
      <c r="D1676" s="1" t="s">
        <v>3340</v>
      </c>
      <c r="E1676" s="1" t="s">
        <v>3341</v>
      </c>
      <c r="F1676" s="2">
        <v>624</v>
      </c>
      <c r="G1676" s="3">
        <v>19.600000000000001</v>
      </c>
      <c r="H1676" s="4" t="str">
        <f>IF(AND(A1676="Yes",C1676="School"),COUNTIFS($A$6:A1676,"Yes",$C$6:C1676,"School"),"")</f>
        <v/>
      </c>
    </row>
    <row r="1677" spans="1:8">
      <c r="A1677" s="13"/>
      <c r="B1677" s="1" t="s">
        <v>3314</v>
      </c>
      <c r="C1677" s="1" t="s">
        <v>24</v>
      </c>
      <c r="D1677" s="1" t="s">
        <v>3342</v>
      </c>
      <c r="E1677" s="1" t="s">
        <v>3343</v>
      </c>
      <c r="F1677" s="2">
        <v>365</v>
      </c>
      <c r="G1677" s="3">
        <v>71.5</v>
      </c>
      <c r="H1677" s="4" t="str">
        <f>IF(AND(A1677="Yes",C1677="School"),COUNTIFS($A$6:A1677,"Yes",$C$6:C1677,"School"),"")</f>
        <v/>
      </c>
    </row>
    <row r="1678" spans="1:8">
      <c r="A1678" s="13"/>
      <c r="B1678" s="1" t="s">
        <v>3314</v>
      </c>
      <c r="C1678" s="1" t="s">
        <v>24</v>
      </c>
      <c r="D1678" s="1" t="s">
        <v>3344</v>
      </c>
      <c r="E1678" s="1" t="s">
        <v>3345</v>
      </c>
      <c r="F1678" s="2">
        <v>403</v>
      </c>
      <c r="G1678" s="3">
        <v>33</v>
      </c>
      <c r="H1678" s="4" t="str">
        <f>IF(AND(A1678="Yes",C1678="School"),COUNTIFS($A$6:A1678,"Yes",$C$6:C1678,"School"),"")</f>
        <v/>
      </c>
    </row>
    <row r="1679" spans="1:8">
      <c r="A1679" s="13"/>
      <c r="B1679" s="1" t="s">
        <v>3314</v>
      </c>
      <c r="C1679" s="1" t="s">
        <v>24</v>
      </c>
      <c r="D1679" s="1" t="s">
        <v>3346</v>
      </c>
      <c r="E1679" s="1" t="s">
        <v>3347</v>
      </c>
      <c r="F1679" s="2">
        <v>664</v>
      </c>
      <c r="G1679" s="3">
        <v>41.6</v>
      </c>
      <c r="H1679" s="4" t="str">
        <f>IF(AND(A1679="Yes",C1679="School"),COUNTIFS($A$6:A1679,"Yes",$C$6:C1679,"School"),"")</f>
        <v/>
      </c>
    </row>
    <row r="1680" spans="1:8">
      <c r="A1680" s="13"/>
      <c r="B1680" s="1" t="s">
        <v>3314</v>
      </c>
      <c r="C1680" s="1" t="s">
        <v>24</v>
      </c>
      <c r="D1680" s="1" t="s">
        <v>3348</v>
      </c>
      <c r="E1680" s="1" t="s">
        <v>3349</v>
      </c>
      <c r="F1680" s="2">
        <v>585</v>
      </c>
      <c r="G1680" s="3">
        <v>57.6</v>
      </c>
      <c r="H1680" s="4" t="str">
        <f>IF(AND(A1680="Yes",C1680="School"),COUNTIFS($A$6:A1680,"Yes",$C$6:C1680,"School"),"")</f>
        <v/>
      </c>
    </row>
    <row r="1681" spans="1:8">
      <c r="A1681" s="13"/>
      <c r="B1681" s="1" t="s">
        <v>3314</v>
      </c>
      <c r="C1681" s="1" t="s">
        <v>24</v>
      </c>
      <c r="D1681" s="1" t="s">
        <v>3350</v>
      </c>
      <c r="E1681" s="1" t="s">
        <v>3351</v>
      </c>
      <c r="F1681" s="2">
        <v>83</v>
      </c>
      <c r="G1681" s="3">
        <v>84.3</v>
      </c>
      <c r="H1681" s="4" t="str">
        <f>IF(AND(A1681="Yes",C1681="School"),COUNTIFS($A$6:A1681,"Yes",$C$6:C1681,"School"),"")</f>
        <v/>
      </c>
    </row>
    <row r="1682" spans="1:8">
      <c r="A1682" s="13"/>
      <c r="B1682" s="1" t="s">
        <v>3314</v>
      </c>
      <c r="C1682" s="1" t="s">
        <v>24</v>
      </c>
      <c r="D1682" s="1" t="s">
        <v>3352</v>
      </c>
      <c r="E1682" s="1" t="s">
        <v>3353</v>
      </c>
      <c r="F1682" s="2">
        <v>1405</v>
      </c>
      <c r="G1682" s="3">
        <v>27.2</v>
      </c>
      <c r="H1682" s="4" t="str">
        <f>IF(AND(A1682="Yes",C1682="School"),COUNTIFS($A$6:A1682,"Yes",$C$6:C1682,"School"),"")</f>
        <v/>
      </c>
    </row>
    <row r="1683" spans="1:8">
      <c r="A1683" s="13"/>
      <c r="B1683" s="1" t="s">
        <v>3314</v>
      </c>
      <c r="C1683" s="1" t="s">
        <v>24</v>
      </c>
      <c r="D1683" s="1" t="s">
        <v>3354</v>
      </c>
      <c r="E1683" s="1" t="s">
        <v>3355</v>
      </c>
      <c r="F1683" s="2">
        <v>544</v>
      </c>
      <c r="G1683" s="3">
        <v>38.799999999999997</v>
      </c>
      <c r="H1683" s="4" t="str">
        <f>IF(AND(A1683="Yes",C1683="School"),COUNTIFS($A$6:A1683,"Yes",$C$6:C1683,"School"),"")</f>
        <v/>
      </c>
    </row>
    <row r="1684" spans="1:8">
      <c r="A1684" s="13"/>
      <c r="B1684" s="1" t="s">
        <v>3314</v>
      </c>
      <c r="C1684" s="1" t="s">
        <v>24</v>
      </c>
      <c r="D1684" s="1" t="s">
        <v>3356</v>
      </c>
      <c r="E1684" s="1" t="s">
        <v>3357</v>
      </c>
      <c r="F1684" s="2">
        <v>401</v>
      </c>
      <c r="G1684" s="3">
        <v>29.9</v>
      </c>
      <c r="H1684" s="4" t="str">
        <f>IF(AND(A1684="Yes",C1684="School"),COUNTIFS($A$6:A1684,"Yes",$C$6:C1684,"School"),"")</f>
        <v/>
      </c>
    </row>
    <row r="1685" spans="1:8">
      <c r="A1685" s="13"/>
      <c r="B1685" s="1" t="s">
        <v>3314</v>
      </c>
      <c r="C1685" s="1" t="s">
        <v>24</v>
      </c>
      <c r="D1685" s="1" t="s">
        <v>3358</v>
      </c>
      <c r="E1685" s="1" t="s">
        <v>3359</v>
      </c>
      <c r="F1685" s="2">
        <v>402</v>
      </c>
      <c r="G1685" s="3">
        <v>34.299999999999997</v>
      </c>
      <c r="H1685" s="4" t="str">
        <f>IF(AND(A1685="Yes",C1685="School"),COUNTIFS($A$6:A1685,"Yes",$C$6:C1685,"School"),"")</f>
        <v/>
      </c>
    </row>
    <row r="1686" spans="1:8">
      <c r="A1686" s="13"/>
      <c r="B1686" s="1" t="s">
        <v>3314</v>
      </c>
      <c r="C1686" s="1" t="s">
        <v>24</v>
      </c>
      <c r="D1686" s="1" t="s">
        <v>3360</v>
      </c>
      <c r="E1686" s="1" t="s">
        <v>3361</v>
      </c>
      <c r="F1686" s="2">
        <v>659</v>
      </c>
      <c r="G1686" s="3">
        <v>23.8</v>
      </c>
      <c r="H1686" s="4" t="str">
        <f>IF(AND(A1686="Yes",C1686="School"),COUNTIFS($A$6:A1686,"Yes",$C$6:C1686,"School"),"")</f>
        <v/>
      </c>
    </row>
    <row r="1687" spans="1:8">
      <c r="A1687" s="13"/>
      <c r="B1687" s="1" t="s">
        <v>3314</v>
      </c>
      <c r="C1687" s="1" t="s">
        <v>24</v>
      </c>
      <c r="D1687" s="1" t="s">
        <v>3362</v>
      </c>
      <c r="E1687" s="1" t="s">
        <v>3363</v>
      </c>
      <c r="F1687" s="2">
        <v>263</v>
      </c>
      <c r="G1687" s="3">
        <v>52.9</v>
      </c>
      <c r="H1687" s="4" t="str">
        <f>IF(AND(A1687="Yes",C1687="School"),COUNTIFS($A$6:A1687,"Yes",$C$6:C1687,"School"),"")</f>
        <v/>
      </c>
    </row>
    <row r="1688" spans="1:8">
      <c r="A1688" s="13"/>
      <c r="B1688" s="1" t="s">
        <v>3364</v>
      </c>
      <c r="C1688" s="1" t="s">
        <v>24</v>
      </c>
      <c r="D1688" s="1" t="s">
        <v>3364</v>
      </c>
      <c r="E1688" s="1" t="s">
        <v>3365</v>
      </c>
      <c r="F1688" s="2">
        <v>281</v>
      </c>
      <c r="G1688" s="3">
        <v>26</v>
      </c>
      <c r="H1688" s="4" t="str">
        <f>IF(AND(A1688="Yes",C1688="School"),COUNTIFS($A$6:A1688,"Yes",$C$6:C1688,"School"),"")</f>
        <v/>
      </c>
    </row>
    <row r="1689" spans="1:8">
      <c r="A1689" s="13"/>
      <c r="B1689" s="1" t="s">
        <v>3366</v>
      </c>
      <c r="C1689" s="1" t="s">
        <v>40</v>
      </c>
      <c r="D1689" s="1" t="s">
        <v>41</v>
      </c>
      <c r="E1689" s="1" t="s">
        <v>3367</v>
      </c>
      <c r="F1689" s="2">
        <v>5770</v>
      </c>
      <c r="G1689" s="3">
        <v>45.6</v>
      </c>
      <c r="H1689" s="4" t="str">
        <f>IF(AND(A1689="Yes",C1689="School"),COUNTIFS($A$6:A1689,"Yes",$C$6:C1689,"School"),"")</f>
        <v/>
      </c>
    </row>
    <row r="1690" spans="1:8">
      <c r="A1690" s="13"/>
      <c r="B1690" s="1" t="s">
        <v>3366</v>
      </c>
      <c r="C1690" s="1" t="s">
        <v>24</v>
      </c>
      <c r="D1690" s="1" t="s">
        <v>3368</v>
      </c>
      <c r="E1690" s="1" t="s">
        <v>3369</v>
      </c>
      <c r="F1690" s="2">
        <v>653</v>
      </c>
      <c r="G1690" s="3">
        <v>50.8</v>
      </c>
      <c r="H1690" s="4" t="str">
        <f>IF(AND(A1690="Yes",C1690="School"),COUNTIFS($A$6:A1690,"Yes",$C$6:C1690,"School"),"")</f>
        <v/>
      </c>
    </row>
    <row r="1691" spans="1:8">
      <c r="A1691" s="13"/>
      <c r="B1691" s="1" t="s">
        <v>3366</v>
      </c>
      <c r="C1691" s="1" t="s">
        <v>24</v>
      </c>
      <c r="D1691" s="1" t="s">
        <v>3370</v>
      </c>
      <c r="E1691" s="1" t="s">
        <v>3371</v>
      </c>
      <c r="F1691" s="2">
        <v>1762</v>
      </c>
      <c r="G1691" s="3">
        <v>40.299999999999997</v>
      </c>
      <c r="H1691" s="4" t="str">
        <f>IF(AND(A1691="Yes",C1691="School"),COUNTIFS($A$6:A1691,"Yes",$C$6:C1691,"School"),"")</f>
        <v/>
      </c>
    </row>
    <row r="1692" spans="1:8">
      <c r="A1692" s="13"/>
      <c r="B1692" s="1" t="s">
        <v>3366</v>
      </c>
      <c r="C1692" s="1" t="s">
        <v>24</v>
      </c>
      <c r="D1692" s="1" t="s">
        <v>3372</v>
      </c>
      <c r="E1692" s="1" t="s">
        <v>3373</v>
      </c>
      <c r="F1692" s="2">
        <v>690</v>
      </c>
      <c r="G1692" s="3">
        <v>47.5</v>
      </c>
      <c r="H1692" s="4" t="str">
        <f>IF(AND(A1692="Yes",C1692="School"),COUNTIFS($A$6:A1692,"Yes",$C$6:C1692,"School"),"")</f>
        <v/>
      </c>
    </row>
    <row r="1693" spans="1:8">
      <c r="A1693" s="13"/>
      <c r="B1693" s="1" t="s">
        <v>3366</v>
      </c>
      <c r="C1693" s="1" t="s">
        <v>24</v>
      </c>
      <c r="D1693" s="1" t="s">
        <v>3374</v>
      </c>
      <c r="E1693" s="1" t="s">
        <v>3375</v>
      </c>
      <c r="F1693" s="2">
        <v>696</v>
      </c>
      <c r="G1693" s="3">
        <v>41.1</v>
      </c>
      <c r="H1693" s="4" t="str">
        <f>IF(AND(A1693="Yes",C1693="School"),COUNTIFS($A$6:A1693,"Yes",$C$6:C1693,"School"),"")</f>
        <v/>
      </c>
    </row>
    <row r="1694" spans="1:8">
      <c r="A1694" s="13"/>
      <c r="B1694" s="1" t="s">
        <v>3366</v>
      </c>
      <c r="C1694" s="1" t="s">
        <v>24</v>
      </c>
      <c r="D1694" s="1" t="s">
        <v>3376</v>
      </c>
      <c r="E1694" s="1" t="s">
        <v>3377</v>
      </c>
      <c r="F1694" s="2">
        <v>399</v>
      </c>
      <c r="G1694" s="3">
        <v>55.6</v>
      </c>
      <c r="H1694" s="4" t="str">
        <f>IF(AND(A1694="Yes",C1694="School"),COUNTIFS($A$6:A1694,"Yes",$C$6:C1694,"School"),"")</f>
        <v/>
      </c>
    </row>
    <row r="1695" spans="1:8">
      <c r="A1695" s="13"/>
      <c r="B1695" s="1" t="s">
        <v>3366</v>
      </c>
      <c r="C1695" s="1" t="s">
        <v>24</v>
      </c>
      <c r="D1695" s="1" t="s">
        <v>603</v>
      </c>
      <c r="E1695" s="1" t="s">
        <v>3378</v>
      </c>
      <c r="F1695" s="2">
        <v>448</v>
      </c>
      <c r="G1695" s="3">
        <v>38.6</v>
      </c>
      <c r="H1695" s="4" t="str">
        <f>IF(AND(A1695="Yes",C1695="School"),COUNTIFS($A$6:A1695,"Yes",$C$6:C1695,"School"),"")</f>
        <v/>
      </c>
    </row>
    <row r="1696" spans="1:8">
      <c r="A1696" s="13"/>
      <c r="B1696" s="1" t="s">
        <v>3366</v>
      </c>
      <c r="C1696" s="1" t="s">
        <v>24</v>
      </c>
      <c r="D1696" s="1" t="s">
        <v>3379</v>
      </c>
      <c r="E1696" s="1" t="s">
        <v>3380</v>
      </c>
      <c r="F1696" s="2">
        <v>639</v>
      </c>
      <c r="G1696" s="3">
        <v>45.5</v>
      </c>
      <c r="H1696" s="4" t="str">
        <f>IF(AND(A1696="Yes",C1696="School"),COUNTIFS($A$6:A1696,"Yes",$C$6:C1696,"School"),"")</f>
        <v/>
      </c>
    </row>
    <row r="1697" spans="1:8">
      <c r="A1697" s="13"/>
      <c r="B1697" s="1" t="s">
        <v>3366</v>
      </c>
      <c r="C1697" s="1" t="s">
        <v>24</v>
      </c>
      <c r="D1697" s="1" t="s">
        <v>749</v>
      </c>
      <c r="E1697" s="1" t="s">
        <v>3381</v>
      </c>
      <c r="F1697" s="2">
        <v>483</v>
      </c>
      <c r="G1697" s="3">
        <v>59.4</v>
      </c>
      <c r="H1697" s="4" t="str">
        <f>IF(AND(A1697="Yes",C1697="School"),COUNTIFS($A$6:A1697,"Yes",$C$6:C1697,"School"),"")</f>
        <v/>
      </c>
    </row>
    <row r="1698" spans="1:8">
      <c r="A1698" s="13"/>
      <c r="B1698" s="1" t="s">
        <v>3382</v>
      </c>
      <c r="C1698" s="1" t="s">
        <v>40</v>
      </c>
      <c r="D1698" s="1" t="s">
        <v>41</v>
      </c>
      <c r="E1698" s="1" t="s">
        <v>3383</v>
      </c>
      <c r="F1698" s="2">
        <v>1765</v>
      </c>
      <c r="G1698" s="3">
        <v>51.5</v>
      </c>
      <c r="H1698" s="4" t="str">
        <f>IF(AND(A1698="Yes",C1698="School"),COUNTIFS($A$6:A1698,"Yes",$C$6:C1698,"School"),"")</f>
        <v/>
      </c>
    </row>
    <row r="1699" spans="1:8">
      <c r="A1699" s="13"/>
      <c r="B1699" s="1" t="s">
        <v>3382</v>
      </c>
      <c r="C1699" s="1" t="s">
        <v>24</v>
      </c>
      <c r="D1699" s="1" t="s">
        <v>3384</v>
      </c>
      <c r="E1699" s="1" t="s">
        <v>3385</v>
      </c>
      <c r="F1699" s="2">
        <v>452</v>
      </c>
      <c r="G1699" s="3">
        <v>59.5</v>
      </c>
      <c r="H1699" s="4" t="str">
        <f>IF(AND(A1699="Yes",C1699="School"),COUNTIFS($A$6:A1699,"Yes",$C$6:C1699,"School"),"")</f>
        <v/>
      </c>
    </row>
    <row r="1700" spans="1:8">
      <c r="A1700" s="13"/>
      <c r="B1700" s="1" t="s">
        <v>3382</v>
      </c>
      <c r="C1700" s="1" t="s">
        <v>24</v>
      </c>
      <c r="D1700" s="1" t="s">
        <v>3386</v>
      </c>
      <c r="E1700" s="1" t="s">
        <v>3387</v>
      </c>
      <c r="F1700" s="2">
        <v>357</v>
      </c>
      <c r="G1700" s="3">
        <v>55.5</v>
      </c>
      <c r="H1700" s="4" t="str">
        <f>IF(AND(A1700="Yes",C1700="School"),COUNTIFS($A$6:A1700,"Yes",$C$6:C1700,"School"),"")</f>
        <v/>
      </c>
    </row>
    <row r="1701" spans="1:8">
      <c r="A1701" s="13"/>
      <c r="B1701" s="1" t="s">
        <v>3382</v>
      </c>
      <c r="C1701" s="1" t="s">
        <v>24</v>
      </c>
      <c r="D1701" s="1" t="s">
        <v>3388</v>
      </c>
      <c r="E1701" s="1" t="s">
        <v>3389</v>
      </c>
      <c r="F1701" s="2">
        <v>569</v>
      </c>
      <c r="G1701" s="3">
        <v>42.7</v>
      </c>
      <c r="H1701" s="4" t="str">
        <f>IF(AND(A1701="Yes",C1701="School"),COUNTIFS($A$6:A1701,"Yes",$C$6:C1701,"School"),"")</f>
        <v/>
      </c>
    </row>
    <row r="1702" spans="1:8">
      <c r="A1702" s="13"/>
      <c r="B1702" s="1" t="s">
        <v>3382</v>
      </c>
      <c r="C1702" s="1" t="s">
        <v>24</v>
      </c>
      <c r="D1702" s="1" t="s">
        <v>3390</v>
      </c>
      <c r="E1702" s="1" t="s">
        <v>3391</v>
      </c>
      <c r="F1702" s="2">
        <v>387</v>
      </c>
      <c r="G1702" s="3">
        <v>51.4</v>
      </c>
      <c r="H1702" s="4" t="str">
        <f>IF(AND(A1702="Yes",C1702="School"),COUNTIFS($A$6:A1702,"Yes",$C$6:C1702,"School"),"")</f>
        <v/>
      </c>
    </row>
    <row r="1703" spans="1:8">
      <c r="A1703" s="13"/>
      <c r="B1703" s="1" t="s">
        <v>3392</v>
      </c>
      <c r="C1703" s="1" t="s">
        <v>24</v>
      </c>
      <c r="D1703" s="1" t="s">
        <v>3392</v>
      </c>
      <c r="E1703" s="1" t="s">
        <v>3393</v>
      </c>
      <c r="F1703" s="2">
        <v>152</v>
      </c>
      <c r="G1703" s="3">
        <v>48.7</v>
      </c>
      <c r="H1703" s="4" t="str">
        <f>IF(AND(A1703="Yes",C1703="School"),COUNTIFS($A$6:A1703,"Yes",$C$6:C1703,"School"),"")</f>
        <v/>
      </c>
    </row>
    <row r="1704" spans="1:8">
      <c r="A1704" s="13"/>
      <c r="B1704" s="1" t="s">
        <v>3394</v>
      </c>
      <c r="C1704" s="1" t="s">
        <v>24</v>
      </c>
      <c r="D1704" s="1" t="s">
        <v>3394</v>
      </c>
      <c r="E1704" s="1" t="s">
        <v>3395</v>
      </c>
      <c r="F1704" s="2">
        <v>210</v>
      </c>
      <c r="G1704" s="3">
        <v>52.4</v>
      </c>
      <c r="H1704" s="4" t="str">
        <f>IF(AND(A1704="Yes",C1704="School"),COUNTIFS($A$6:A1704,"Yes",$C$6:C1704,"School"),"")</f>
        <v/>
      </c>
    </row>
    <row r="1705" spans="1:8">
      <c r="A1705" s="13"/>
      <c r="B1705" s="1" t="s">
        <v>3396</v>
      </c>
      <c r="C1705" s="1" t="s">
        <v>24</v>
      </c>
      <c r="D1705" s="1" t="s">
        <v>3396</v>
      </c>
      <c r="E1705" s="1" t="s">
        <v>3397</v>
      </c>
      <c r="F1705" s="2">
        <v>1783</v>
      </c>
      <c r="G1705" s="3">
        <v>30.5</v>
      </c>
      <c r="H1705" s="4" t="str">
        <f>IF(AND(A1705="Yes",C1705="School"),COUNTIFS($A$6:A1705,"Yes",$C$6:C1705,"School"),"")</f>
        <v/>
      </c>
    </row>
    <row r="1706" spans="1:8">
      <c r="A1706" s="13"/>
      <c r="B1706" s="1" t="s">
        <v>3398</v>
      </c>
      <c r="C1706" s="1" t="s">
        <v>24</v>
      </c>
      <c r="D1706" s="1" t="s">
        <v>3398</v>
      </c>
      <c r="E1706" s="1" t="s">
        <v>3399</v>
      </c>
      <c r="F1706" s="2">
        <v>389</v>
      </c>
      <c r="G1706" s="3">
        <v>78.400000000000006</v>
      </c>
      <c r="H1706" s="4" t="str">
        <f>IF(AND(A1706="Yes",C1706="School"),COUNTIFS($A$6:A1706,"Yes",$C$6:C1706,"School"),"")</f>
        <v/>
      </c>
    </row>
    <row r="1707" spans="1:8">
      <c r="A1707" s="13"/>
      <c r="B1707" s="1" t="s">
        <v>3400</v>
      </c>
      <c r="C1707" s="1" t="s">
        <v>24</v>
      </c>
      <c r="D1707" s="1" t="s">
        <v>3400</v>
      </c>
      <c r="E1707" s="1" t="s">
        <v>3401</v>
      </c>
      <c r="F1707" s="2">
        <v>487</v>
      </c>
      <c r="G1707" s="3">
        <v>66.3</v>
      </c>
      <c r="H1707" s="4" t="str">
        <f>IF(AND(A1707="Yes",C1707="School"),COUNTIFS($A$6:A1707,"Yes",$C$6:C1707,"School"),"")</f>
        <v/>
      </c>
    </row>
    <row r="1708" spans="1:8">
      <c r="A1708" s="13"/>
      <c r="B1708" s="1" t="s">
        <v>3402</v>
      </c>
      <c r="C1708" s="1" t="s">
        <v>24</v>
      </c>
      <c r="D1708" s="1" t="s">
        <v>3402</v>
      </c>
      <c r="E1708" s="1" t="s">
        <v>3403</v>
      </c>
      <c r="F1708" s="2">
        <v>249</v>
      </c>
      <c r="G1708" s="3">
        <v>62.2</v>
      </c>
      <c r="H1708" s="4" t="str">
        <f>IF(AND(A1708="Yes",C1708="School"),COUNTIFS($A$6:A1708,"Yes",$C$6:C1708,"School"),"")</f>
        <v/>
      </c>
    </row>
    <row r="1709" spans="1:8">
      <c r="A1709" s="13"/>
      <c r="B1709" s="1" t="s">
        <v>3404</v>
      </c>
      <c r="C1709" s="1" t="s">
        <v>24</v>
      </c>
      <c r="D1709" s="1" t="s">
        <v>3404</v>
      </c>
      <c r="E1709" s="1" t="s">
        <v>3405</v>
      </c>
      <c r="F1709" s="2">
        <v>243</v>
      </c>
      <c r="G1709" s="3">
        <v>70.400000000000006</v>
      </c>
      <c r="H1709" s="4" t="str">
        <f>IF(AND(A1709="Yes",C1709="School"),COUNTIFS($A$6:A1709,"Yes",$C$6:C1709,"School"),"")</f>
        <v/>
      </c>
    </row>
    <row r="1710" spans="1:8">
      <c r="A1710" s="13"/>
      <c r="B1710" s="1" t="s">
        <v>3406</v>
      </c>
      <c r="C1710" s="1" t="s">
        <v>40</v>
      </c>
      <c r="D1710" s="1" t="s">
        <v>41</v>
      </c>
      <c r="E1710" s="1" t="s">
        <v>3407</v>
      </c>
      <c r="F1710" s="2">
        <v>12961</v>
      </c>
      <c r="G1710" s="3">
        <v>62.7</v>
      </c>
      <c r="H1710" s="4" t="str">
        <f>IF(AND(A1710="Yes",C1710="School"),COUNTIFS($A$6:A1710,"Yes",$C$6:C1710,"School"),"")</f>
        <v/>
      </c>
    </row>
    <row r="1711" spans="1:8">
      <c r="A1711" s="13"/>
      <c r="B1711" s="1" t="s">
        <v>3406</v>
      </c>
      <c r="C1711" s="1" t="s">
        <v>24</v>
      </c>
      <c r="D1711" s="1" t="s">
        <v>3408</v>
      </c>
      <c r="E1711" s="1" t="s">
        <v>3409</v>
      </c>
      <c r="F1711" s="2">
        <v>618</v>
      </c>
      <c r="G1711" s="3">
        <v>65.2</v>
      </c>
      <c r="H1711" s="4" t="str">
        <f>IF(AND(A1711="Yes",C1711="School"),COUNTIFS($A$6:A1711,"Yes",$C$6:C1711,"School"),"")</f>
        <v/>
      </c>
    </row>
    <row r="1712" spans="1:8">
      <c r="A1712" s="13"/>
      <c r="B1712" s="1" t="s">
        <v>3406</v>
      </c>
      <c r="C1712" s="1" t="s">
        <v>24</v>
      </c>
      <c r="D1712" s="1" t="s">
        <v>3410</v>
      </c>
      <c r="E1712" s="1" t="s">
        <v>3411</v>
      </c>
      <c r="F1712" s="2">
        <v>552</v>
      </c>
      <c r="G1712" s="3">
        <v>73.599999999999994</v>
      </c>
      <c r="H1712" s="4" t="str">
        <f>IF(AND(A1712="Yes",C1712="School"),COUNTIFS($A$6:A1712,"Yes",$C$6:C1712,"School"),"")</f>
        <v/>
      </c>
    </row>
    <row r="1713" spans="1:8">
      <c r="A1713" s="13"/>
      <c r="B1713" s="1" t="s">
        <v>3406</v>
      </c>
      <c r="C1713" s="1" t="s">
        <v>24</v>
      </c>
      <c r="D1713" s="1" t="s">
        <v>3412</v>
      </c>
      <c r="E1713" s="1" t="s">
        <v>3413</v>
      </c>
      <c r="F1713" s="2">
        <v>92</v>
      </c>
      <c r="G1713" s="3">
        <v>53.3</v>
      </c>
      <c r="H1713" s="4" t="str">
        <f>IF(AND(A1713="Yes",C1713="School"),COUNTIFS($A$6:A1713,"Yes",$C$6:C1713,"School"),"")</f>
        <v/>
      </c>
    </row>
    <row r="1714" spans="1:8">
      <c r="A1714" s="13"/>
      <c r="B1714" s="1" t="s">
        <v>3406</v>
      </c>
      <c r="C1714" s="1" t="s">
        <v>24</v>
      </c>
      <c r="D1714" s="1" t="s">
        <v>3414</v>
      </c>
      <c r="E1714" s="1" t="s">
        <v>3415</v>
      </c>
      <c r="F1714" s="2">
        <v>643</v>
      </c>
      <c r="G1714" s="3">
        <v>57.1</v>
      </c>
      <c r="H1714" s="4" t="str">
        <f>IF(AND(A1714="Yes",C1714="School"),COUNTIFS($A$6:A1714,"Yes",$C$6:C1714,"School"),"")</f>
        <v/>
      </c>
    </row>
    <row r="1715" spans="1:8">
      <c r="A1715" s="13"/>
      <c r="B1715" s="1" t="s">
        <v>3406</v>
      </c>
      <c r="C1715" s="1" t="s">
        <v>24</v>
      </c>
      <c r="D1715" s="1" t="s">
        <v>3416</v>
      </c>
      <c r="E1715" s="1" t="s">
        <v>3417</v>
      </c>
      <c r="F1715" s="2">
        <v>409</v>
      </c>
      <c r="G1715" s="3">
        <v>77.3</v>
      </c>
      <c r="H1715" s="4" t="str">
        <f>IF(AND(A1715="Yes",C1715="School"),COUNTIFS($A$6:A1715,"Yes",$C$6:C1715,"School"),"")</f>
        <v/>
      </c>
    </row>
    <row r="1716" spans="1:8">
      <c r="A1716" s="13"/>
      <c r="B1716" s="1" t="s">
        <v>3406</v>
      </c>
      <c r="C1716" s="1" t="s">
        <v>24</v>
      </c>
      <c r="D1716" s="1" t="s">
        <v>3418</v>
      </c>
      <c r="E1716" s="1" t="s">
        <v>3419</v>
      </c>
      <c r="F1716" s="2">
        <v>614</v>
      </c>
      <c r="G1716" s="3">
        <v>91.4</v>
      </c>
      <c r="H1716" s="4" t="str">
        <f>IF(AND(A1716="Yes",C1716="School"),COUNTIFS($A$6:A1716,"Yes",$C$6:C1716,"School"),"")</f>
        <v/>
      </c>
    </row>
    <row r="1717" spans="1:8">
      <c r="A1717" s="13"/>
      <c r="B1717" s="1" t="s">
        <v>3406</v>
      </c>
      <c r="C1717" s="1" t="s">
        <v>24</v>
      </c>
      <c r="D1717" s="1" t="s">
        <v>3420</v>
      </c>
      <c r="E1717" s="1" t="s">
        <v>3421</v>
      </c>
      <c r="F1717" s="2">
        <v>415</v>
      </c>
      <c r="G1717" s="3">
        <v>74.7</v>
      </c>
      <c r="H1717" s="4" t="str">
        <f>IF(AND(A1717="Yes",C1717="School"),COUNTIFS($A$6:A1717,"Yes",$C$6:C1717,"School"),"")</f>
        <v/>
      </c>
    </row>
    <row r="1718" spans="1:8">
      <c r="A1718" s="13"/>
      <c r="B1718" s="1" t="s">
        <v>3406</v>
      </c>
      <c r="C1718" s="1" t="s">
        <v>24</v>
      </c>
      <c r="D1718" s="1" t="s">
        <v>3422</v>
      </c>
      <c r="E1718" s="1" t="s">
        <v>3423</v>
      </c>
      <c r="F1718" s="2">
        <v>358</v>
      </c>
      <c r="G1718" s="3">
        <v>64.5</v>
      </c>
      <c r="H1718" s="4" t="str">
        <f>IF(AND(A1718="Yes",C1718="School"),COUNTIFS($A$6:A1718,"Yes",$C$6:C1718,"School"),"")</f>
        <v/>
      </c>
    </row>
    <row r="1719" spans="1:8">
      <c r="A1719" s="13"/>
      <c r="B1719" s="1" t="s">
        <v>3406</v>
      </c>
      <c r="C1719" s="1" t="s">
        <v>24</v>
      </c>
      <c r="D1719" s="1" t="s">
        <v>3424</v>
      </c>
      <c r="E1719" s="1" t="s">
        <v>3425</v>
      </c>
      <c r="F1719" s="2">
        <v>617</v>
      </c>
      <c r="G1719" s="3">
        <v>49.9</v>
      </c>
      <c r="H1719" s="4" t="str">
        <f>IF(AND(A1719="Yes",C1719="School"),COUNTIFS($A$6:A1719,"Yes",$C$6:C1719,"School"),"")</f>
        <v/>
      </c>
    </row>
    <row r="1720" spans="1:8">
      <c r="A1720" s="13"/>
      <c r="B1720" s="1" t="s">
        <v>3406</v>
      </c>
      <c r="C1720" s="1" t="s">
        <v>24</v>
      </c>
      <c r="D1720" s="1" t="s">
        <v>3426</v>
      </c>
      <c r="E1720" s="1" t="s">
        <v>3427</v>
      </c>
      <c r="F1720" s="2">
        <v>544</v>
      </c>
      <c r="G1720" s="3">
        <v>61.9</v>
      </c>
      <c r="H1720" s="4" t="str">
        <f>IF(AND(A1720="Yes",C1720="School"),COUNTIFS($A$6:A1720,"Yes",$C$6:C1720,"School"),"")</f>
        <v/>
      </c>
    </row>
    <row r="1721" spans="1:8">
      <c r="A1721" s="13"/>
      <c r="B1721" s="1" t="s">
        <v>3406</v>
      </c>
      <c r="C1721" s="1" t="s">
        <v>24</v>
      </c>
      <c r="D1721" s="1" t="s">
        <v>3428</v>
      </c>
      <c r="E1721" s="1" t="s">
        <v>3429</v>
      </c>
      <c r="F1721" s="2">
        <v>338</v>
      </c>
      <c r="G1721" s="3">
        <v>42</v>
      </c>
      <c r="H1721" s="4" t="str">
        <f>IF(AND(A1721="Yes",C1721="School"),COUNTIFS($A$6:A1721,"Yes",$C$6:C1721,"School"),"")</f>
        <v/>
      </c>
    </row>
    <row r="1722" spans="1:8">
      <c r="A1722" s="13"/>
      <c r="B1722" s="1" t="s">
        <v>3406</v>
      </c>
      <c r="C1722" s="1" t="s">
        <v>24</v>
      </c>
      <c r="D1722" s="1" t="s">
        <v>3430</v>
      </c>
      <c r="E1722" s="1" t="s">
        <v>3431</v>
      </c>
      <c r="F1722" s="2">
        <v>242</v>
      </c>
      <c r="G1722" s="3">
        <v>69.8</v>
      </c>
      <c r="H1722" s="4" t="str">
        <f>IF(AND(A1722="Yes",C1722="School"),COUNTIFS($A$6:A1722,"Yes",$C$6:C1722,"School"),"")</f>
        <v/>
      </c>
    </row>
    <row r="1723" spans="1:8">
      <c r="A1723" s="13"/>
      <c r="B1723" s="1" t="s">
        <v>3406</v>
      </c>
      <c r="C1723" s="1" t="s">
        <v>24</v>
      </c>
      <c r="D1723" s="1" t="s">
        <v>3432</v>
      </c>
      <c r="E1723" s="1" t="s">
        <v>3433</v>
      </c>
      <c r="F1723" s="2">
        <v>575</v>
      </c>
      <c r="G1723" s="3">
        <v>58.3</v>
      </c>
      <c r="H1723" s="4" t="str">
        <f>IF(AND(A1723="Yes",C1723="School"),COUNTIFS($A$6:A1723,"Yes",$C$6:C1723,"School"),"")</f>
        <v/>
      </c>
    </row>
    <row r="1724" spans="1:8">
      <c r="A1724" s="13"/>
      <c r="B1724" s="1" t="s">
        <v>3406</v>
      </c>
      <c r="C1724" s="1" t="s">
        <v>24</v>
      </c>
      <c r="D1724" s="1" t="s">
        <v>3434</v>
      </c>
      <c r="E1724" s="1" t="s">
        <v>3435</v>
      </c>
      <c r="F1724" s="2">
        <v>993</v>
      </c>
      <c r="G1724" s="3">
        <v>51.7</v>
      </c>
      <c r="H1724" s="4" t="str">
        <f>IF(AND(A1724="Yes",C1724="School"),COUNTIFS($A$6:A1724,"Yes",$C$6:C1724,"School"),"")</f>
        <v/>
      </c>
    </row>
    <row r="1725" spans="1:8">
      <c r="A1725" s="13"/>
      <c r="B1725" s="1" t="s">
        <v>3406</v>
      </c>
      <c r="C1725" s="1" t="s">
        <v>24</v>
      </c>
      <c r="D1725" s="1" t="s">
        <v>3436</v>
      </c>
      <c r="E1725" s="1" t="s">
        <v>3437</v>
      </c>
      <c r="F1725" s="2">
        <v>763</v>
      </c>
      <c r="G1725" s="3">
        <v>58.7</v>
      </c>
      <c r="H1725" s="4" t="str">
        <f>IF(AND(A1725="Yes",C1725="School"),COUNTIFS($A$6:A1725,"Yes",$C$6:C1725,"School"),"")</f>
        <v/>
      </c>
    </row>
    <row r="1726" spans="1:8">
      <c r="A1726" s="13"/>
      <c r="B1726" s="1" t="s">
        <v>3406</v>
      </c>
      <c r="C1726" s="1" t="s">
        <v>24</v>
      </c>
      <c r="D1726" s="1" t="s">
        <v>3438</v>
      </c>
      <c r="E1726" s="1" t="s">
        <v>3439</v>
      </c>
      <c r="F1726" s="2">
        <v>788</v>
      </c>
      <c r="G1726" s="3">
        <v>59</v>
      </c>
      <c r="H1726" s="4" t="str">
        <f>IF(AND(A1726="Yes",C1726="School"),COUNTIFS($A$6:A1726,"Yes",$C$6:C1726,"School"),"")</f>
        <v/>
      </c>
    </row>
    <row r="1727" spans="1:8">
      <c r="A1727" s="13"/>
      <c r="B1727" s="1" t="s">
        <v>3406</v>
      </c>
      <c r="C1727" s="1" t="s">
        <v>24</v>
      </c>
      <c r="D1727" s="1" t="s">
        <v>3440</v>
      </c>
      <c r="E1727" s="1" t="s">
        <v>3441</v>
      </c>
      <c r="F1727" s="2">
        <v>918</v>
      </c>
      <c r="G1727" s="3">
        <v>70.400000000000006</v>
      </c>
      <c r="H1727" s="4" t="str">
        <f>IF(AND(A1727="Yes",C1727="School"),COUNTIFS($A$6:A1727,"Yes",$C$6:C1727,"School"),"")</f>
        <v/>
      </c>
    </row>
    <row r="1728" spans="1:8">
      <c r="A1728" s="13"/>
      <c r="B1728" s="1" t="s">
        <v>3406</v>
      </c>
      <c r="C1728" s="1" t="s">
        <v>24</v>
      </c>
      <c r="D1728" s="1" t="s">
        <v>3442</v>
      </c>
      <c r="E1728" s="1" t="s">
        <v>3443</v>
      </c>
      <c r="F1728" s="2">
        <v>675</v>
      </c>
      <c r="G1728" s="3">
        <v>75.400000000000006</v>
      </c>
      <c r="H1728" s="4" t="str">
        <f>IF(AND(A1728="Yes",C1728="School"),COUNTIFS($A$6:A1728,"Yes",$C$6:C1728,"School"),"")</f>
        <v/>
      </c>
    </row>
    <row r="1729" spans="1:8">
      <c r="A1729" s="13"/>
      <c r="B1729" s="1" t="s">
        <v>3406</v>
      </c>
      <c r="C1729" s="1" t="s">
        <v>24</v>
      </c>
      <c r="D1729" s="1" t="s">
        <v>3444</v>
      </c>
      <c r="E1729" s="1" t="s">
        <v>3445</v>
      </c>
      <c r="F1729" s="2">
        <v>966</v>
      </c>
      <c r="G1729" s="3">
        <v>49.7</v>
      </c>
      <c r="H1729" s="4" t="str">
        <f>IF(AND(A1729="Yes",C1729="School"),COUNTIFS($A$6:A1729,"Yes",$C$6:C1729,"School"),"")</f>
        <v/>
      </c>
    </row>
    <row r="1730" spans="1:8">
      <c r="A1730" s="13"/>
      <c r="B1730" s="1" t="s">
        <v>3406</v>
      </c>
      <c r="C1730" s="1" t="s">
        <v>24</v>
      </c>
      <c r="D1730" s="1" t="s">
        <v>3446</v>
      </c>
      <c r="E1730" s="1" t="s">
        <v>3447</v>
      </c>
      <c r="F1730" s="2">
        <v>738</v>
      </c>
      <c r="G1730" s="3">
        <v>50.7</v>
      </c>
      <c r="H1730" s="4" t="str">
        <f>IF(AND(A1730="Yes",C1730="School"),COUNTIFS($A$6:A1730,"Yes",$C$6:C1730,"School"),"")</f>
        <v/>
      </c>
    </row>
    <row r="1731" spans="1:8">
      <c r="A1731" s="13"/>
      <c r="B1731" s="1" t="s">
        <v>3406</v>
      </c>
      <c r="C1731" s="1" t="s">
        <v>24</v>
      </c>
      <c r="D1731" s="1" t="s">
        <v>3448</v>
      </c>
      <c r="E1731" s="1" t="s">
        <v>3449</v>
      </c>
      <c r="F1731" s="2">
        <v>378</v>
      </c>
      <c r="G1731" s="3">
        <v>72.8</v>
      </c>
      <c r="H1731" s="4" t="str">
        <f>IF(AND(A1731="Yes",C1731="School"),COUNTIFS($A$6:A1731,"Yes",$C$6:C1731,"School"),"")</f>
        <v/>
      </c>
    </row>
    <row r="1732" spans="1:8">
      <c r="A1732" s="13"/>
      <c r="B1732" s="1" t="s">
        <v>3406</v>
      </c>
      <c r="C1732" s="1" t="s">
        <v>24</v>
      </c>
      <c r="D1732" s="1" t="s">
        <v>3450</v>
      </c>
      <c r="E1732" s="1" t="s">
        <v>3451</v>
      </c>
      <c r="F1732" s="2">
        <v>143</v>
      </c>
      <c r="G1732" s="3">
        <v>85.3</v>
      </c>
      <c r="H1732" s="4" t="str">
        <f>IF(AND(A1732="Yes",C1732="School"),COUNTIFS($A$6:A1732,"Yes",$C$6:C1732,"School"),"")</f>
        <v/>
      </c>
    </row>
    <row r="1733" spans="1:8">
      <c r="A1733" s="13"/>
      <c r="B1733" s="1" t="s">
        <v>3406</v>
      </c>
      <c r="C1733" s="1" t="s">
        <v>24</v>
      </c>
      <c r="D1733" s="1" t="s">
        <v>3452</v>
      </c>
      <c r="E1733" s="1" t="s">
        <v>3453</v>
      </c>
      <c r="F1733" s="2">
        <v>582</v>
      </c>
      <c r="G1733" s="3">
        <v>62.4</v>
      </c>
      <c r="H1733" s="4" t="str">
        <f>IF(AND(A1733="Yes",C1733="School"),COUNTIFS($A$6:A1733,"Yes",$C$6:C1733,"School"),"")</f>
        <v/>
      </c>
    </row>
    <row r="1734" spans="1:8">
      <c r="A1734" s="13"/>
      <c r="B1734" s="1" t="s">
        <v>3454</v>
      </c>
      <c r="C1734" s="1" t="s">
        <v>24</v>
      </c>
      <c r="D1734" s="1" t="s">
        <v>3454</v>
      </c>
      <c r="E1734" s="1" t="s">
        <v>3455</v>
      </c>
      <c r="F1734" s="2">
        <v>1189</v>
      </c>
      <c r="G1734" s="3">
        <v>17.2</v>
      </c>
      <c r="H1734" s="4" t="str">
        <f>IF(AND(A1734="Yes",C1734="School"),COUNTIFS($A$6:A1734,"Yes",$C$6:C1734,"School"),"")</f>
        <v/>
      </c>
    </row>
    <row r="1735" spans="1:8">
      <c r="A1735" s="13"/>
      <c r="B1735" s="1" t="s">
        <v>3456</v>
      </c>
      <c r="C1735" s="1" t="s">
        <v>24</v>
      </c>
      <c r="D1735" s="1" t="s">
        <v>3456</v>
      </c>
      <c r="E1735" s="1" t="s">
        <v>3457</v>
      </c>
      <c r="F1735" s="2">
        <v>56</v>
      </c>
      <c r="G1735" s="3">
        <v>64.3</v>
      </c>
      <c r="H1735" s="4" t="str">
        <f>IF(AND(A1735="Yes",C1735="School"),COUNTIFS($A$6:A1735,"Yes",$C$6:C1735,"School"),"")</f>
        <v/>
      </c>
    </row>
    <row r="1736" spans="1:8">
      <c r="A1736" s="13"/>
      <c r="B1736" s="1" t="s">
        <v>3458</v>
      </c>
      <c r="C1736" s="1" t="s">
        <v>24</v>
      </c>
      <c r="D1736" s="1" t="s">
        <v>3458</v>
      </c>
      <c r="E1736" s="1" t="s">
        <v>3459</v>
      </c>
      <c r="F1736" s="2">
        <v>3534</v>
      </c>
      <c r="G1736" s="3">
        <v>68</v>
      </c>
      <c r="H1736" s="4" t="str">
        <f>IF(AND(A1736="Yes",C1736="School"),COUNTIFS($A$6:A1736,"Yes",$C$6:C1736,"School"),"")</f>
        <v/>
      </c>
    </row>
    <row r="1737" spans="1:8">
      <c r="A1737" s="13"/>
      <c r="B1737" s="1" t="s">
        <v>3460</v>
      </c>
      <c r="C1737" s="1" t="s">
        <v>24</v>
      </c>
      <c r="D1737" s="1" t="s">
        <v>3460</v>
      </c>
      <c r="E1737" s="1" t="s">
        <v>3461</v>
      </c>
      <c r="F1737" s="2">
        <v>763</v>
      </c>
      <c r="G1737" s="3">
        <v>45.9</v>
      </c>
      <c r="H1737" s="4" t="str">
        <f>IF(AND(A1737="Yes",C1737="School"),COUNTIFS($A$6:A1737,"Yes",$C$6:C1737,"School"),"")</f>
        <v/>
      </c>
    </row>
    <row r="1738" spans="1:8">
      <c r="A1738" s="13"/>
      <c r="B1738" s="1" t="s">
        <v>3462</v>
      </c>
      <c r="C1738" s="1" t="s">
        <v>24</v>
      </c>
      <c r="D1738" s="1" t="s">
        <v>3462</v>
      </c>
      <c r="E1738" s="1" t="s">
        <v>3463</v>
      </c>
      <c r="F1738" s="2">
        <v>127</v>
      </c>
      <c r="G1738" s="3">
        <v>31.5</v>
      </c>
      <c r="H1738" s="4" t="str">
        <f>IF(AND(A1738="Yes",C1738="School"),COUNTIFS($A$6:A1738,"Yes",$C$6:C1738,"School"),"")</f>
        <v/>
      </c>
    </row>
    <row r="1739" spans="1:8">
      <c r="A1739" s="13"/>
      <c r="B1739" s="1" t="s">
        <v>3464</v>
      </c>
      <c r="C1739" s="1" t="s">
        <v>24</v>
      </c>
      <c r="D1739" s="1" t="s">
        <v>3464</v>
      </c>
      <c r="E1739" s="1" t="s">
        <v>3465</v>
      </c>
      <c r="F1739" s="2">
        <v>845</v>
      </c>
      <c r="G1739" s="3">
        <v>27.2</v>
      </c>
      <c r="H1739" s="4" t="str">
        <f>IF(AND(A1739="Yes",C1739="School"),COUNTIFS($A$6:A1739,"Yes",$C$6:C1739,"School"),"")</f>
        <v/>
      </c>
    </row>
    <row r="1740" spans="1:8">
      <c r="A1740" s="13"/>
      <c r="B1740" s="1" t="s">
        <v>3466</v>
      </c>
      <c r="C1740" s="1" t="s">
        <v>24</v>
      </c>
      <c r="D1740" s="1" t="s">
        <v>3466</v>
      </c>
      <c r="E1740" s="1" t="s">
        <v>3467</v>
      </c>
      <c r="F1740" s="2">
        <v>557</v>
      </c>
      <c r="G1740" s="3">
        <v>32.9</v>
      </c>
      <c r="H1740" s="4" t="str">
        <f>IF(AND(A1740="Yes",C1740="School"),COUNTIFS($A$6:A1740,"Yes",$C$6:C1740,"School"),"")</f>
        <v/>
      </c>
    </row>
    <row r="1741" spans="1:8">
      <c r="A1741" s="13"/>
      <c r="B1741" s="1" t="s">
        <v>3468</v>
      </c>
      <c r="C1741" s="1" t="s">
        <v>40</v>
      </c>
      <c r="D1741" s="1" t="s">
        <v>41</v>
      </c>
      <c r="E1741" s="1" t="s">
        <v>3469</v>
      </c>
      <c r="F1741" s="2">
        <v>23505</v>
      </c>
      <c r="G1741" s="3">
        <v>42.6</v>
      </c>
      <c r="H1741" s="4" t="str">
        <f>IF(AND(A1741="Yes",C1741="School"),COUNTIFS($A$6:A1741,"Yes",$C$6:C1741,"School"),"")</f>
        <v/>
      </c>
    </row>
    <row r="1742" spans="1:8">
      <c r="A1742" s="13"/>
      <c r="B1742" s="1" t="s">
        <v>3468</v>
      </c>
      <c r="C1742" s="1" t="s">
        <v>24</v>
      </c>
      <c r="D1742" s="1" t="s">
        <v>3470</v>
      </c>
      <c r="E1742" s="1" t="s">
        <v>3471</v>
      </c>
      <c r="F1742" s="2">
        <v>336</v>
      </c>
      <c r="G1742" s="3">
        <v>84.5</v>
      </c>
      <c r="H1742" s="4" t="str">
        <f>IF(AND(A1742="Yes",C1742="School"),COUNTIFS($A$6:A1742,"Yes",$C$6:C1742,"School"),"")</f>
        <v/>
      </c>
    </row>
    <row r="1743" spans="1:8">
      <c r="A1743" s="13"/>
      <c r="B1743" s="1" t="s">
        <v>3468</v>
      </c>
      <c r="C1743" s="1" t="s">
        <v>24</v>
      </c>
      <c r="D1743" s="1" t="s">
        <v>3472</v>
      </c>
      <c r="E1743" s="1" t="s">
        <v>3473</v>
      </c>
      <c r="F1743" s="2">
        <v>299</v>
      </c>
      <c r="G1743" s="3">
        <v>46.5</v>
      </c>
      <c r="H1743" s="4" t="str">
        <f>IF(AND(A1743="Yes",C1743="School"),COUNTIFS($A$6:A1743,"Yes",$C$6:C1743,"School"),"")</f>
        <v/>
      </c>
    </row>
    <row r="1744" spans="1:8">
      <c r="A1744" s="13"/>
      <c r="B1744" s="1" t="s">
        <v>3468</v>
      </c>
      <c r="C1744" s="1" t="s">
        <v>24</v>
      </c>
      <c r="D1744" s="1" t="s">
        <v>3474</v>
      </c>
      <c r="E1744" s="1" t="s">
        <v>3475</v>
      </c>
      <c r="F1744" s="2">
        <v>121</v>
      </c>
      <c r="G1744" s="3">
        <v>69.400000000000006</v>
      </c>
      <c r="H1744" s="4" t="str">
        <f>IF(AND(A1744="Yes",C1744="School"),COUNTIFS($A$6:A1744,"Yes",$C$6:C1744,"School"),"")</f>
        <v/>
      </c>
    </row>
    <row r="1745" spans="1:8">
      <c r="A1745" s="13"/>
      <c r="B1745" s="1" t="s">
        <v>3468</v>
      </c>
      <c r="C1745" s="1" t="s">
        <v>24</v>
      </c>
      <c r="D1745" s="1" t="s">
        <v>3476</v>
      </c>
      <c r="E1745" s="1" t="s">
        <v>3477</v>
      </c>
      <c r="F1745" s="2">
        <v>359</v>
      </c>
      <c r="G1745" s="3">
        <v>24.2</v>
      </c>
      <c r="H1745" s="4" t="str">
        <f>IF(AND(A1745="Yes",C1745="School"),COUNTIFS($A$6:A1745,"Yes",$C$6:C1745,"School"),"")</f>
        <v/>
      </c>
    </row>
    <row r="1746" spans="1:8">
      <c r="A1746" s="13"/>
      <c r="B1746" s="1" t="s">
        <v>3468</v>
      </c>
      <c r="C1746" s="1" t="s">
        <v>24</v>
      </c>
      <c r="D1746" s="1" t="s">
        <v>3478</v>
      </c>
      <c r="E1746" s="1" t="s">
        <v>3479</v>
      </c>
      <c r="F1746" s="2">
        <v>495</v>
      </c>
      <c r="G1746" s="3">
        <v>57.4</v>
      </c>
      <c r="H1746" s="4" t="str">
        <f>IF(AND(A1746="Yes",C1746="School"),COUNTIFS($A$6:A1746,"Yes",$C$6:C1746,"School"),"")</f>
        <v/>
      </c>
    </row>
    <row r="1747" spans="1:8">
      <c r="A1747" s="13"/>
      <c r="B1747" s="1" t="s">
        <v>3468</v>
      </c>
      <c r="C1747" s="1" t="s">
        <v>24</v>
      </c>
      <c r="D1747" s="1" t="s">
        <v>3480</v>
      </c>
      <c r="E1747" s="1" t="s">
        <v>3481</v>
      </c>
      <c r="F1747" s="2">
        <v>846</v>
      </c>
      <c r="G1747" s="3">
        <v>30.1</v>
      </c>
      <c r="H1747" s="4" t="str">
        <f>IF(AND(A1747="Yes",C1747="School"),COUNTIFS($A$6:A1747,"Yes",$C$6:C1747,"School"),"")</f>
        <v/>
      </c>
    </row>
    <row r="1748" spans="1:8">
      <c r="A1748" s="13"/>
      <c r="B1748" s="1" t="s">
        <v>3468</v>
      </c>
      <c r="C1748" s="1" t="s">
        <v>24</v>
      </c>
      <c r="D1748" s="1" t="s">
        <v>3482</v>
      </c>
      <c r="E1748" s="1" t="s">
        <v>3483</v>
      </c>
      <c r="F1748" s="2">
        <v>430</v>
      </c>
      <c r="G1748" s="3">
        <v>79.099999999999994</v>
      </c>
      <c r="H1748" s="4" t="str">
        <f>IF(AND(A1748="Yes",C1748="School"),COUNTIFS($A$6:A1748,"Yes",$C$6:C1748,"School"),"")</f>
        <v/>
      </c>
    </row>
    <row r="1749" spans="1:8">
      <c r="A1749" s="13"/>
      <c r="B1749" s="1" t="s">
        <v>3468</v>
      </c>
      <c r="C1749" s="1" t="s">
        <v>24</v>
      </c>
      <c r="D1749" s="1" t="s">
        <v>3484</v>
      </c>
      <c r="E1749" s="1" t="s">
        <v>3485</v>
      </c>
      <c r="F1749" s="2">
        <v>461</v>
      </c>
      <c r="G1749" s="3">
        <v>30.6</v>
      </c>
      <c r="H1749" s="4" t="str">
        <f>IF(AND(A1749="Yes",C1749="School"),COUNTIFS($A$6:A1749,"Yes",$C$6:C1749,"School"),"")</f>
        <v/>
      </c>
    </row>
    <row r="1750" spans="1:8">
      <c r="A1750" s="13"/>
      <c r="B1750" s="1" t="s">
        <v>3468</v>
      </c>
      <c r="C1750" s="1" t="s">
        <v>24</v>
      </c>
      <c r="D1750" s="1" t="s">
        <v>3486</v>
      </c>
      <c r="E1750" s="1" t="s">
        <v>3487</v>
      </c>
      <c r="F1750" s="2">
        <v>463</v>
      </c>
      <c r="G1750" s="3">
        <v>24.2</v>
      </c>
      <c r="H1750" s="4" t="str">
        <f>IF(AND(A1750="Yes",C1750="School"),COUNTIFS($A$6:A1750,"Yes",$C$6:C1750,"School"),"")</f>
        <v/>
      </c>
    </row>
    <row r="1751" spans="1:8">
      <c r="A1751" s="13"/>
      <c r="B1751" s="1" t="s">
        <v>3468</v>
      </c>
      <c r="C1751" s="1" t="s">
        <v>24</v>
      </c>
      <c r="D1751" s="1" t="s">
        <v>2346</v>
      </c>
      <c r="E1751" s="1" t="s">
        <v>3488</v>
      </c>
      <c r="F1751" s="2">
        <v>230</v>
      </c>
      <c r="G1751" s="3">
        <v>72.599999999999994</v>
      </c>
      <c r="H1751" s="4" t="str">
        <f>IF(AND(A1751="Yes",C1751="School"),COUNTIFS($A$6:A1751,"Yes",$C$6:C1751,"School"),"")</f>
        <v/>
      </c>
    </row>
    <row r="1752" spans="1:8">
      <c r="A1752" s="13"/>
      <c r="B1752" s="1" t="s">
        <v>3468</v>
      </c>
      <c r="C1752" s="1" t="s">
        <v>24</v>
      </c>
      <c r="D1752" s="1" t="s">
        <v>3489</v>
      </c>
      <c r="E1752" s="1" t="s">
        <v>3490</v>
      </c>
      <c r="F1752" s="2">
        <v>478</v>
      </c>
      <c r="G1752" s="3">
        <v>43.9</v>
      </c>
      <c r="H1752" s="4" t="str">
        <f>IF(AND(A1752="Yes",C1752="School"),COUNTIFS($A$6:A1752,"Yes",$C$6:C1752,"School"),"")</f>
        <v/>
      </c>
    </row>
    <row r="1753" spans="1:8">
      <c r="A1753" s="13"/>
      <c r="B1753" s="1" t="s">
        <v>3468</v>
      </c>
      <c r="C1753" s="1" t="s">
        <v>24</v>
      </c>
      <c r="D1753" s="1" t="s">
        <v>3491</v>
      </c>
      <c r="E1753" s="1" t="s">
        <v>3492</v>
      </c>
      <c r="F1753" s="2">
        <v>624</v>
      </c>
      <c r="G1753" s="3">
        <v>47.9</v>
      </c>
      <c r="H1753" s="4" t="str">
        <f>IF(AND(A1753="Yes",C1753="School"),COUNTIFS($A$6:A1753,"Yes",$C$6:C1753,"School"),"")</f>
        <v/>
      </c>
    </row>
    <row r="1754" spans="1:8">
      <c r="A1754" s="13"/>
      <c r="B1754" s="1" t="s">
        <v>3468</v>
      </c>
      <c r="C1754" s="1" t="s">
        <v>24</v>
      </c>
      <c r="D1754" s="1" t="s">
        <v>3493</v>
      </c>
      <c r="E1754" s="1" t="s">
        <v>3494</v>
      </c>
      <c r="F1754" s="2">
        <v>1938</v>
      </c>
      <c r="G1754" s="3">
        <v>35.9</v>
      </c>
      <c r="H1754" s="4" t="str">
        <f>IF(AND(A1754="Yes",C1754="School"),COUNTIFS($A$6:A1754,"Yes",$C$6:C1754,"School"),"")</f>
        <v/>
      </c>
    </row>
    <row r="1755" spans="1:8">
      <c r="A1755" s="13"/>
      <c r="B1755" s="1" t="s">
        <v>3468</v>
      </c>
      <c r="C1755" s="1" t="s">
        <v>24</v>
      </c>
      <c r="D1755" s="1" t="s">
        <v>3495</v>
      </c>
      <c r="E1755" s="1" t="s">
        <v>3496</v>
      </c>
      <c r="F1755" s="2">
        <v>1730</v>
      </c>
      <c r="G1755" s="3">
        <v>35.799999999999997</v>
      </c>
      <c r="H1755" s="4" t="str">
        <f>IF(AND(A1755="Yes",C1755="School"),COUNTIFS($A$6:A1755,"Yes",$C$6:C1755,"School"),"")</f>
        <v/>
      </c>
    </row>
    <row r="1756" spans="1:8">
      <c r="A1756" s="13"/>
      <c r="B1756" s="1" t="s">
        <v>3468</v>
      </c>
      <c r="C1756" s="1" t="s">
        <v>24</v>
      </c>
      <c r="D1756" s="1" t="s">
        <v>3497</v>
      </c>
      <c r="E1756" s="1" t="s">
        <v>3498</v>
      </c>
      <c r="F1756" s="2">
        <v>332</v>
      </c>
      <c r="G1756" s="3">
        <v>71.7</v>
      </c>
      <c r="H1756" s="4" t="str">
        <f>IF(AND(A1756="Yes",C1756="School"),COUNTIFS($A$6:A1756,"Yes",$C$6:C1756,"School"),"")</f>
        <v/>
      </c>
    </row>
    <row r="1757" spans="1:8">
      <c r="A1757" s="13"/>
      <c r="B1757" s="1" t="s">
        <v>3468</v>
      </c>
      <c r="C1757" s="1" t="s">
        <v>24</v>
      </c>
      <c r="D1757" s="1" t="s">
        <v>3499</v>
      </c>
      <c r="E1757" s="1" t="s">
        <v>3500</v>
      </c>
      <c r="F1757" s="2">
        <v>519</v>
      </c>
      <c r="G1757" s="3">
        <v>35.799999999999997</v>
      </c>
      <c r="H1757" s="4" t="str">
        <f>IF(AND(A1757="Yes",C1757="School"),COUNTIFS($A$6:A1757,"Yes",$C$6:C1757,"School"),"")</f>
        <v/>
      </c>
    </row>
    <row r="1758" spans="1:8">
      <c r="A1758" s="13"/>
      <c r="B1758" s="1" t="s">
        <v>3468</v>
      </c>
      <c r="C1758" s="1" t="s">
        <v>24</v>
      </c>
      <c r="D1758" s="1" t="s">
        <v>3501</v>
      </c>
      <c r="E1758" s="1" t="s">
        <v>3502</v>
      </c>
      <c r="F1758" s="2">
        <v>825</v>
      </c>
      <c r="G1758" s="3">
        <v>45.6</v>
      </c>
      <c r="H1758" s="4" t="str">
        <f>IF(AND(A1758="Yes",C1758="School"),COUNTIFS($A$6:A1758,"Yes",$C$6:C1758,"School"),"")</f>
        <v/>
      </c>
    </row>
    <row r="1759" spans="1:8">
      <c r="A1759" s="13"/>
      <c r="B1759" s="1" t="s">
        <v>3468</v>
      </c>
      <c r="C1759" s="1" t="s">
        <v>24</v>
      </c>
      <c r="D1759" s="1" t="s">
        <v>3503</v>
      </c>
      <c r="E1759" s="1" t="s">
        <v>3504</v>
      </c>
      <c r="F1759" s="2">
        <v>374</v>
      </c>
      <c r="G1759" s="3">
        <v>25.1</v>
      </c>
      <c r="H1759" s="4" t="str">
        <f>IF(AND(A1759="Yes",C1759="School"),COUNTIFS($A$6:A1759,"Yes",$C$6:C1759,"School"),"")</f>
        <v/>
      </c>
    </row>
    <row r="1760" spans="1:8">
      <c r="A1760" s="13"/>
      <c r="B1760" s="1" t="s">
        <v>3468</v>
      </c>
      <c r="C1760" s="1" t="s">
        <v>24</v>
      </c>
      <c r="D1760" s="1" t="s">
        <v>3505</v>
      </c>
      <c r="E1760" s="1" t="s">
        <v>3506</v>
      </c>
      <c r="F1760" s="2">
        <v>255</v>
      </c>
      <c r="G1760" s="3">
        <v>26.7</v>
      </c>
      <c r="H1760" s="4" t="str">
        <f>IF(AND(A1760="Yes",C1760="School"),COUNTIFS($A$6:A1760,"Yes",$C$6:C1760,"School"),"")</f>
        <v/>
      </c>
    </row>
    <row r="1761" spans="1:8">
      <c r="A1761" s="13"/>
      <c r="B1761" s="1" t="s">
        <v>3468</v>
      </c>
      <c r="C1761" s="1" t="s">
        <v>24</v>
      </c>
      <c r="D1761" s="1" t="s">
        <v>3507</v>
      </c>
      <c r="E1761" s="1" t="s">
        <v>3508</v>
      </c>
      <c r="F1761" s="2">
        <v>57</v>
      </c>
      <c r="G1761" s="3">
        <v>87.7</v>
      </c>
      <c r="H1761" s="4" t="str">
        <f>IF(AND(A1761="Yes",C1761="School"),COUNTIFS($A$6:A1761,"Yes",$C$6:C1761,"School"),"")</f>
        <v/>
      </c>
    </row>
    <row r="1762" spans="1:8">
      <c r="A1762" s="13"/>
      <c r="B1762" s="1" t="s">
        <v>3468</v>
      </c>
      <c r="C1762" s="1" t="s">
        <v>24</v>
      </c>
      <c r="D1762" s="1" t="s">
        <v>3509</v>
      </c>
      <c r="E1762" s="1" t="s">
        <v>3510</v>
      </c>
      <c r="F1762" s="2">
        <v>401</v>
      </c>
      <c r="G1762" s="3">
        <v>55.4</v>
      </c>
      <c r="H1762" s="4" t="str">
        <f>IF(AND(A1762="Yes",C1762="School"),COUNTIFS($A$6:A1762,"Yes",$C$6:C1762,"School"),"")</f>
        <v/>
      </c>
    </row>
    <row r="1763" spans="1:8">
      <c r="A1763" s="13"/>
      <c r="B1763" s="1" t="s">
        <v>3468</v>
      </c>
      <c r="C1763" s="1" t="s">
        <v>24</v>
      </c>
      <c r="D1763" s="1" t="s">
        <v>3511</v>
      </c>
      <c r="E1763" s="1" t="s">
        <v>3512</v>
      </c>
      <c r="F1763" s="2">
        <v>1870</v>
      </c>
      <c r="G1763" s="3">
        <v>29</v>
      </c>
      <c r="H1763" s="4" t="str">
        <f>IF(AND(A1763="Yes",C1763="School"),COUNTIFS($A$6:A1763,"Yes",$C$6:C1763,"School"),"")</f>
        <v/>
      </c>
    </row>
    <row r="1764" spans="1:8">
      <c r="A1764" s="13"/>
      <c r="B1764" s="1" t="s">
        <v>3468</v>
      </c>
      <c r="C1764" s="1" t="s">
        <v>24</v>
      </c>
      <c r="D1764" s="1" t="s">
        <v>3513</v>
      </c>
      <c r="E1764" s="1" t="s">
        <v>3514</v>
      </c>
      <c r="F1764" s="2">
        <v>41</v>
      </c>
      <c r="G1764" s="3">
        <v>87.8</v>
      </c>
      <c r="H1764" s="4" t="str">
        <f>IF(AND(A1764="Yes",C1764="School"),COUNTIFS($A$6:A1764,"Yes",$C$6:C1764,"School"),"")</f>
        <v/>
      </c>
    </row>
    <row r="1765" spans="1:8">
      <c r="A1765" s="13"/>
      <c r="B1765" s="1" t="s">
        <v>3468</v>
      </c>
      <c r="C1765" s="1" t="s">
        <v>24</v>
      </c>
      <c r="D1765" s="1" t="s">
        <v>3515</v>
      </c>
      <c r="E1765" s="1" t="s">
        <v>3516</v>
      </c>
      <c r="F1765" s="2">
        <v>663</v>
      </c>
      <c r="G1765" s="3">
        <v>32.6</v>
      </c>
      <c r="H1765" s="4" t="str">
        <f>IF(AND(A1765="Yes",C1765="School"),COUNTIFS($A$6:A1765,"Yes",$C$6:C1765,"School"),"")</f>
        <v/>
      </c>
    </row>
    <row r="1766" spans="1:8">
      <c r="A1766" s="13"/>
      <c r="B1766" s="1" t="s">
        <v>3468</v>
      </c>
      <c r="C1766" s="1" t="s">
        <v>24</v>
      </c>
      <c r="D1766" s="1" t="s">
        <v>3517</v>
      </c>
      <c r="E1766" s="1" t="s">
        <v>3518</v>
      </c>
      <c r="F1766" s="2">
        <v>347</v>
      </c>
      <c r="G1766" s="3">
        <v>69.2</v>
      </c>
      <c r="H1766" s="4" t="str">
        <f>IF(AND(A1766="Yes",C1766="School"),COUNTIFS($A$6:A1766,"Yes",$C$6:C1766,"School"),"")</f>
        <v/>
      </c>
    </row>
    <row r="1767" spans="1:8">
      <c r="A1767" s="13"/>
      <c r="B1767" s="1" t="s">
        <v>3468</v>
      </c>
      <c r="C1767" s="1" t="s">
        <v>24</v>
      </c>
      <c r="D1767" s="1" t="s">
        <v>3519</v>
      </c>
      <c r="E1767" s="1" t="s">
        <v>3520</v>
      </c>
      <c r="F1767" s="2">
        <v>577</v>
      </c>
      <c r="G1767" s="3">
        <v>17.2</v>
      </c>
      <c r="H1767" s="4" t="str">
        <f>IF(AND(A1767="Yes",C1767="School"),COUNTIFS($A$6:A1767,"Yes",$C$6:C1767,"School"),"")</f>
        <v/>
      </c>
    </row>
    <row r="1768" spans="1:8">
      <c r="A1768" s="13"/>
      <c r="B1768" s="1" t="s">
        <v>3468</v>
      </c>
      <c r="C1768" s="1" t="s">
        <v>24</v>
      </c>
      <c r="D1768" s="1" t="s">
        <v>3521</v>
      </c>
      <c r="E1768" s="1" t="s">
        <v>3522</v>
      </c>
      <c r="F1768" s="2">
        <v>539</v>
      </c>
      <c r="G1768" s="3">
        <v>46.4</v>
      </c>
      <c r="H1768" s="4" t="str">
        <f>IF(AND(A1768="Yes",C1768="School"),COUNTIFS($A$6:A1768,"Yes",$C$6:C1768,"School"),"")</f>
        <v/>
      </c>
    </row>
    <row r="1769" spans="1:8">
      <c r="A1769" s="13"/>
      <c r="B1769" s="1" t="s">
        <v>3468</v>
      </c>
      <c r="C1769" s="1" t="s">
        <v>24</v>
      </c>
      <c r="D1769" s="1" t="s">
        <v>3523</v>
      </c>
      <c r="E1769" s="1" t="s">
        <v>3524</v>
      </c>
      <c r="F1769" s="2">
        <v>596</v>
      </c>
      <c r="G1769" s="3">
        <v>49</v>
      </c>
      <c r="H1769" s="4" t="str">
        <f>IF(AND(A1769="Yes",C1769="School"),COUNTIFS($A$6:A1769,"Yes",$C$6:C1769,"School"),"")</f>
        <v/>
      </c>
    </row>
    <row r="1770" spans="1:8">
      <c r="A1770" s="13"/>
      <c r="B1770" s="1" t="s">
        <v>3468</v>
      </c>
      <c r="C1770" s="1" t="s">
        <v>24</v>
      </c>
      <c r="D1770" s="1" t="s">
        <v>3525</v>
      </c>
      <c r="E1770" s="1" t="s">
        <v>3526</v>
      </c>
      <c r="F1770" s="2">
        <v>1223</v>
      </c>
      <c r="G1770" s="3">
        <v>51.6</v>
      </c>
      <c r="H1770" s="4" t="str">
        <f>IF(AND(A1770="Yes",C1770="School"),COUNTIFS($A$6:A1770,"Yes",$C$6:C1770,"School"),"")</f>
        <v/>
      </c>
    </row>
    <row r="1771" spans="1:8">
      <c r="A1771" s="13"/>
      <c r="B1771" s="1" t="s">
        <v>3468</v>
      </c>
      <c r="C1771" s="1" t="s">
        <v>24</v>
      </c>
      <c r="D1771" s="1" t="s">
        <v>3527</v>
      </c>
      <c r="E1771" s="1" t="s">
        <v>3528</v>
      </c>
      <c r="F1771" s="2">
        <v>627</v>
      </c>
      <c r="G1771" s="3">
        <v>19.899999999999999</v>
      </c>
      <c r="H1771" s="4" t="str">
        <f>IF(AND(A1771="Yes",C1771="School"),COUNTIFS($A$6:A1771,"Yes",$C$6:C1771,"School"),"")</f>
        <v/>
      </c>
    </row>
    <row r="1772" spans="1:8">
      <c r="A1772" s="13"/>
      <c r="B1772" s="1" t="s">
        <v>3468</v>
      </c>
      <c r="C1772" s="1" t="s">
        <v>24</v>
      </c>
      <c r="D1772" s="1" t="s">
        <v>3529</v>
      </c>
      <c r="E1772" s="1" t="s">
        <v>3530</v>
      </c>
      <c r="F1772" s="2">
        <v>410</v>
      </c>
      <c r="G1772" s="3">
        <v>41.7</v>
      </c>
      <c r="H1772" s="4" t="str">
        <f>IF(AND(A1772="Yes",C1772="School"),COUNTIFS($A$6:A1772,"Yes",$C$6:C1772,"School"),"")</f>
        <v/>
      </c>
    </row>
    <row r="1773" spans="1:8">
      <c r="A1773" s="13"/>
      <c r="B1773" s="1" t="s">
        <v>3468</v>
      </c>
      <c r="C1773" s="1" t="s">
        <v>24</v>
      </c>
      <c r="D1773" s="1" t="s">
        <v>3531</v>
      </c>
      <c r="E1773" s="1" t="s">
        <v>3532</v>
      </c>
      <c r="F1773" s="2">
        <v>696</v>
      </c>
      <c r="G1773" s="3">
        <v>22.6</v>
      </c>
      <c r="H1773" s="4" t="str">
        <f>IF(AND(A1773="Yes",C1773="School"),COUNTIFS($A$6:A1773,"Yes",$C$6:C1773,"School"),"")</f>
        <v/>
      </c>
    </row>
    <row r="1774" spans="1:8">
      <c r="A1774" s="13"/>
      <c r="B1774" s="1" t="s">
        <v>3468</v>
      </c>
      <c r="C1774" s="1" t="s">
        <v>24</v>
      </c>
      <c r="D1774" s="1" t="s">
        <v>3533</v>
      </c>
      <c r="E1774" s="1" t="s">
        <v>3534</v>
      </c>
      <c r="F1774" s="2">
        <v>280</v>
      </c>
      <c r="G1774" s="3">
        <v>94.6</v>
      </c>
      <c r="H1774" s="4" t="str">
        <f>IF(AND(A1774="Yes",C1774="School"),COUNTIFS($A$6:A1774,"Yes",$C$6:C1774,"School"),"")</f>
        <v/>
      </c>
    </row>
    <row r="1775" spans="1:8">
      <c r="A1775" s="13"/>
      <c r="B1775" s="1" t="s">
        <v>3468</v>
      </c>
      <c r="C1775" s="1" t="s">
        <v>24</v>
      </c>
      <c r="D1775" s="1" t="s">
        <v>3535</v>
      </c>
      <c r="E1775" s="1" t="s">
        <v>3536</v>
      </c>
      <c r="F1775" s="2">
        <v>882</v>
      </c>
      <c r="G1775" s="3">
        <v>34.4</v>
      </c>
      <c r="H1775" s="4" t="str">
        <f>IF(AND(A1775="Yes",C1775="School"),COUNTIFS($A$6:A1775,"Yes",$C$6:C1775,"School"),"")</f>
        <v/>
      </c>
    </row>
    <row r="1776" spans="1:8">
      <c r="A1776" s="13"/>
      <c r="B1776" s="1" t="s">
        <v>3468</v>
      </c>
      <c r="C1776" s="1" t="s">
        <v>24</v>
      </c>
      <c r="D1776" s="1" t="s">
        <v>3537</v>
      </c>
      <c r="E1776" s="1" t="s">
        <v>3538</v>
      </c>
      <c r="F1776" s="2">
        <v>239</v>
      </c>
      <c r="G1776" s="3">
        <v>28.5</v>
      </c>
      <c r="H1776" s="4" t="str">
        <f>IF(AND(A1776="Yes",C1776="School"),COUNTIFS($A$6:A1776,"Yes",$C$6:C1776,"School"),"")</f>
        <v/>
      </c>
    </row>
    <row r="1777" spans="1:8">
      <c r="A1777" s="13"/>
      <c r="B1777" s="1" t="s">
        <v>3468</v>
      </c>
      <c r="C1777" s="1" t="s">
        <v>24</v>
      </c>
      <c r="D1777" s="1" t="s">
        <v>3539</v>
      </c>
      <c r="E1777" s="1" t="s">
        <v>3540</v>
      </c>
      <c r="F1777" s="2">
        <v>456</v>
      </c>
      <c r="G1777" s="3">
        <v>69.099999999999994</v>
      </c>
      <c r="H1777" s="4" t="str">
        <f>IF(AND(A1777="Yes",C1777="School"),COUNTIFS($A$6:A1777,"Yes",$C$6:C1777,"School"),"")</f>
        <v/>
      </c>
    </row>
    <row r="1778" spans="1:8">
      <c r="A1778" s="13"/>
      <c r="B1778" s="1" t="s">
        <v>3468</v>
      </c>
      <c r="C1778" s="1" t="s">
        <v>24</v>
      </c>
      <c r="D1778" s="1" t="s">
        <v>3541</v>
      </c>
      <c r="E1778" s="1" t="s">
        <v>3542</v>
      </c>
      <c r="F1778" s="2">
        <v>509</v>
      </c>
      <c r="G1778" s="3">
        <v>45.2</v>
      </c>
      <c r="H1778" s="4" t="str">
        <f>IF(AND(A1778="Yes",C1778="School"),COUNTIFS($A$6:A1778,"Yes",$C$6:C1778,"School"),"")</f>
        <v/>
      </c>
    </row>
    <row r="1779" spans="1:8">
      <c r="A1779" s="13"/>
      <c r="B1779" s="1" t="s">
        <v>3468</v>
      </c>
      <c r="C1779" s="1" t="s">
        <v>24</v>
      </c>
      <c r="D1779" s="1" t="s">
        <v>3543</v>
      </c>
      <c r="E1779" s="1" t="s">
        <v>3544</v>
      </c>
      <c r="F1779" s="2">
        <v>606</v>
      </c>
      <c r="G1779" s="3">
        <v>73.099999999999994</v>
      </c>
      <c r="H1779" s="4" t="str">
        <f>IF(AND(A1779="Yes",C1779="School"),COUNTIFS($A$6:A1779,"Yes",$C$6:C1779,"School"),"")</f>
        <v/>
      </c>
    </row>
    <row r="1780" spans="1:8">
      <c r="A1780" s="13"/>
      <c r="B1780" s="1" t="s">
        <v>3468</v>
      </c>
      <c r="C1780" s="1" t="s">
        <v>24</v>
      </c>
      <c r="D1780" s="1" t="s">
        <v>3545</v>
      </c>
      <c r="E1780" s="1" t="s">
        <v>3546</v>
      </c>
      <c r="F1780" s="2">
        <v>279</v>
      </c>
      <c r="G1780" s="3">
        <v>42.7</v>
      </c>
      <c r="H1780" s="4" t="str">
        <f>IF(AND(A1780="Yes",C1780="School"),COUNTIFS($A$6:A1780,"Yes",$C$6:C1780,"School"),"")</f>
        <v/>
      </c>
    </row>
    <row r="1781" spans="1:8">
      <c r="A1781" s="13"/>
      <c r="B1781" s="1" t="s">
        <v>3468</v>
      </c>
      <c r="C1781" s="1" t="s">
        <v>24</v>
      </c>
      <c r="D1781" s="1" t="s">
        <v>3547</v>
      </c>
      <c r="E1781" s="1" t="s">
        <v>3548</v>
      </c>
      <c r="F1781" s="2">
        <v>317</v>
      </c>
      <c r="G1781" s="3">
        <v>58</v>
      </c>
      <c r="H1781" s="4" t="str">
        <f>IF(AND(A1781="Yes",C1781="School"),COUNTIFS($A$6:A1781,"Yes",$C$6:C1781,"School"),"")</f>
        <v/>
      </c>
    </row>
    <row r="1782" spans="1:8">
      <c r="A1782" s="13"/>
      <c r="B1782" s="1" t="s">
        <v>3468</v>
      </c>
      <c r="C1782" s="1" t="s">
        <v>24</v>
      </c>
      <c r="D1782" s="1" t="s">
        <v>3549</v>
      </c>
      <c r="E1782" s="1" t="s">
        <v>3550</v>
      </c>
      <c r="F1782" s="2">
        <v>487</v>
      </c>
      <c r="G1782" s="3">
        <v>70.599999999999994</v>
      </c>
      <c r="H1782" s="4" t="str">
        <f>IF(AND(A1782="Yes",C1782="School"),COUNTIFS($A$6:A1782,"Yes",$C$6:C1782,"School"),"")</f>
        <v/>
      </c>
    </row>
    <row r="1783" spans="1:8">
      <c r="A1783" s="13"/>
      <c r="B1783" s="1" t="s">
        <v>3468</v>
      </c>
      <c r="C1783" s="1" t="s">
        <v>24</v>
      </c>
      <c r="D1783" s="1" t="s">
        <v>3551</v>
      </c>
      <c r="E1783" s="1" t="s">
        <v>3552</v>
      </c>
      <c r="F1783" s="2">
        <v>288</v>
      </c>
      <c r="G1783" s="3">
        <v>8.3000000000000007</v>
      </c>
      <c r="H1783" s="4" t="str">
        <f>IF(AND(A1783="Yes",C1783="School"),COUNTIFS($A$6:A1783,"Yes",$C$6:C1783,"School"),"")</f>
        <v/>
      </c>
    </row>
    <row r="1784" spans="1:8">
      <c r="A1784" s="13"/>
      <c r="B1784" s="1" t="s">
        <v>3553</v>
      </c>
      <c r="C1784" s="1" t="s">
        <v>40</v>
      </c>
      <c r="D1784" s="1" t="s">
        <v>41</v>
      </c>
      <c r="E1784" s="1" t="s">
        <v>3554</v>
      </c>
      <c r="F1784" s="2">
        <v>2588</v>
      </c>
      <c r="G1784" s="3">
        <v>52.6</v>
      </c>
      <c r="H1784" s="4" t="str">
        <f>IF(AND(A1784="Yes",C1784="School"),COUNTIFS($A$6:A1784,"Yes",$C$6:C1784,"School"),"")</f>
        <v/>
      </c>
    </row>
    <row r="1785" spans="1:8">
      <c r="A1785" s="13"/>
      <c r="B1785" s="1" t="s">
        <v>3553</v>
      </c>
      <c r="C1785" s="1" t="s">
        <v>24</v>
      </c>
      <c r="D1785" s="1" t="s">
        <v>3555</v>
      </c>
      <c r="E1785" s="1" t="s">
        <v>3556</v>
      </c>
      <c r="F1785" s="2">
        <v>72</v>
      </c>
      <c r="G1785" s="3">
        <v>76.400000000000006</v>
      </c>
      <c r="H1785" s="4" t="str">
        <f>IF(AND(A1785="Yes",C1785="School"),COUNTIFS($A$6:A1785,"Yes",$C$6:C1785,"School"),"")</f>
        <v/>
      </c>
    </row>
    <row r="1786" spans="1:8">
      <c r="A1786" s="13"/>
      <c r="B1786" s="1" t="s">
        <v>3553</v>
      </c>
      <c r="C1786" s="1" t="s">
        <v>24</v>
      </c>
      <c r="D1786" s="1" t="s">
        <v>3557</v>
      </c>
      <c r="E1786" s="1" t="s">
        <v>3558</v>
      </c>
      <c r="F1786" s="2">
        <v>138</v>
      </c>
      <c r="G1786" s="3">
        <v>34.1</v>
      </c>
      <c r="H1786" s="4" t="str">
        <f>IF(AND(A1786="Yes",C1786="School"),COUNTIFS($A$6:A1786,"Yes",$C$6:C1786,"School"),"")</f>
        <v/>
      </c>
    </row>
    <row r="1787" spans="1:8">
      <c r="A1787" s="13"/>
      <c r="B1787" s="1" t="s">
        <v>3553</v>
      </c>
      <c r="C1787" s="1" t="s">
        <v>24</v>
      </c>
      <c r="D1787" s="1" t="s">
        <v>3559</v>
      </c>
      <c r="E1787" s="1" t="s">
        <v>3560</v>
      </c>
      <c r="F1787" s="2">
        <v>644</v>
      </c>
      <c r="G1787" s="3">
        <v>46.9</v>
      </c>
      <c r="H1787" s="4" t="str">
        <f>IF(AND(A1787="Yes",C1787="School"),COUNTIFS($A$6:A1787,"Yes",$C$6:C1787,"School"),"")</f>
        <v/>
      </c>
    </row>
    <row r="1788" spans="1:8">
      <c r="A1788" s="13"/>
      <c r="B1788" s="1" t="s">
        <v>3553</v>
      </c>
      <c r="C1788" s="1" t="s">
        <v>24</v>
      </c>
      <c r="D1788" s="1" t="s">
        <v>3561</v>
      </c>
      <c r="E1788" s="1" t="s">
        <v>3562</v>
      </c>
      <c r="F1788" s="2">
        <v>570</v>
      </c>
      <c r="G1788" s="3">
        <v>49.8</v>
      </c>
      <c r="H1788" s="4" t="str">
        <f>IF(AND(A1788="Yes",C1788="School"),COUNTIFS($A$6:A1788,"Yes",$C$6:C1788,"School"),"")</f>
        <v/>
      </c>
    </row>
    <row r="1789" spans="1:8">
      <c r="A1789" s="13"/>
      <c r="B1789" s="1" t="s">
        <v>3553</v>
      </c>
      <c r="C1789" s="1" t="s">
        <v>24</v>
      </c>
      <c r="D1789" s="1" t="s">
        <v>3563</v>
      </c>
      <c r="E1789" s="1" t="s">
        <v>3564</v>
      </c>
      <c r="F1789" s="2">
        <v>392</v>
      </c>
      <c r="G1789" s="3">
        <v>62.2</v>
      </c>
      <c r="H1789" s="4" t="str">
        <f>IF(AND(A1789="Yes",C1789="School"),COUNTIFS($A$6:A1789,"Yes",$C$6:C1789,"School"),"")</f>
        <v/>
      </c>
    </row>
    <row r="1790" spans="1:8">
      <c r="A1790" s="13"/>
      <c r="B1790" s="1" t="s">
        <v>3553</v>
      </c>
      <c r="C1790" s="1" t="s">
        <v>24</v>
      </c>
      <c r="D1790" s="1" t="s">
        <v>3565</v>
      </c>
      <c r="E1790" s="1" t="s">
        <v>3566</v>
      </c>
      <c r="F1790" s="2">
        <v>416</v>
      </c>
      <c r="G1790" s="3">
        <v>49.5</v>
      </c>
      <c r="H1790" s="4" t="str">
        <f>IF(AND(A1790="Yes",C1790="School"),COUNTIFS($A$6:A1790,"Yes",$C$6:C1790,"School"),"")</f>
        <v/>
      </c>
    </row>
    <row r="1791" spans="1:8">
      <c r="A1791" s="13"/>
      <c r="B1791" s="1" t="s">
        <v>3553</v>
      </c>
      <c r="C1791" s="1" t="s">
        <v>24</v>
      </c>
      <c r="D1791" s="1" t="s">
        <v>3567</v>
      </c>
      <c r="E1791" s="1" t="s">
        <v>3568</v>
      </c>
      <c r="F1791" s="2">
        <v>356</v>
      </c>
      <c r="G1791" s="3">
        <v>62.4</v>
      </c>
      <c r="H1791" s="4" t="str">
        <f>IF(AND(A1791="Yes",C1791="School"),COUNTIFS($A$6:A1791,"Yes",$C$6:C1791,"School"),"")</f>
        <v/>
      </c>
    </row>
    <row r="1792" spans="1:8">
      <c r="A1792" s="13"/>
      <c r="B1792" s="1" t="s">
        <v>3569</v>
      </c>
      <c r="C1792" s="1" t="s">
        <v>24</v>
      </c>
      <c r="D1792" s="1" t="s">
        <v>3569</v>
      </c>
      <c r="E1792" s="1" t="s">
        <v>3570</v>
      </c>
      <c r="F1792" s="2">
        <v>437</v>
      </c>
      <c r="G1792" s="3">
        <v>76.900000000000006</v>
      </c>
      <c r="H1792" s="4" t="str">
        <f>IF(AND(A1792="Yes",C1792="School"),COUNTIFS($A$6:A1792,"Yes",$C$6:C1792,"School"),"")</f>
        <v/>
      </c>
    </row>
    <row r="1793" spans="1:8">
      <c r="A1793" s="13"/>
      <c r="B1793" s="1" t="s">
        <v>3571</v>
      </c>
      <c r="C1793" s="1" t="s">
        <v>24</v>
      </c>
      <c r="D1793" s="1" t="s">
        <v>3571</v>
      </c>
      <c r="E1793" s="1" t="s">
        <v>3572</v>
      </c>
      <c r="F1793" s="2">
        <v>2326</v>
      </c>
      <c r="G1793" s="3">
        <v>66.3</v>
      </c>
      <c r="H1793" s="4" t="str">
        <f>IF(AND(A1793="Yes",C1793="School"),COUNTIFS($A$6:A1793,"Yes",$C$6:C1793,"School"),"")</f>
        <v/>
      </c>
    </row>
    <row r="1794" spans="1:8">
      <c r="A1794" s="13"/>
      <c r="B1794" s="1" t="s">
        <v>3573</v>
      </c>
      <c r="C1794" s="1" t="s">
        <v>24</v>
      </c>
      <c r="D1794" s="1" t="s">
        <v>3574</v>
      </c>
      <c r="E1794" s="1" t="s">
        <v>3575</v>
      </c>
      <c r="F1794" s="2">
        <v>43</v>
      </c>
      <c r="G1794" s="3">
        <v>46.5</v>
      </c>
      <c r="H1794" s="4" t="str">
        <f>IF(AND(A1794="Yes",C1794="School"),COUNTIFS($A$6:A1794,"Yes",$C$6:C1794,"School"),"")</f>
        <v/>
      </c>
    </row>
    <row r="1795" spans="1:8">
      <c r="A1795" s="13"/>
      <c r="B1795" s="1" t="s">
        <v>3573</v>
      </c>
      <c r="C1795" s="1" t="s">
        <v>24</v>
      </c>
      <c r="D1795" s="1" t="s">
        <v>3573</v>
      </c>
      <c r="E1795" s="1" t="s">
        <v>3576</v>
      </c>
      <c r="F1795" s="2">
        <v>1182</v>
      </c>
      <c r="G1795" s="3">
        <v>59.3</v>
      </c>
      <c r="H1795" s="4" t="str">
        <f>IF(AND(A1795="Yes",C1795="School"),COUNTIFS($A$6:A1795,"Yes",$C$6:C1795,"School"),"")</f>
        <v/>
      </c>
    </row>
    <row r="1796" spans="1:8">
      <c r="A1796" s="13"/>
      <c r="B1796" s="1" t="s">
        <v>3577</v>
      </c>
      <c r="C1796" s="1" t="s">
        <v>24</v>
      </c>
      <c r="D1796" s="1" t="s">
        <v>3577</v>
      </c>
      <c r="E1796" s="1" t="s">
        <v>3578</v>
      </c>
      <c r="F1796" s="2">
        <v>449</v>
      </c>
      <c r="G1796" s="3">
        <v>83.5</v>
      </c>
      <c r="H1796" s="4" t="str">
        <f>IF(AND(A1796="Yes",C1796="School"),COUNTIFS($A$6:A1796,"Yes",$C$6:C1796,"School"),"")</f>
        <v/>
      </c>
    </row>
    <row r="1797" spans="1:8">
      <c r="A1797" s="13"/>
      <c r="B1797" s="1" t="s">
        <v>3579</v>
      </c>
      <c r="C1797" s="1" t="s">
        <v>40</v>
      </c>
      <c r="D1797" s="1" t="s">
        <v>41</v>
      </c>
      <c r="E1797" s="1" t="s">
        <v>3580</v>
      </c>
      <c r="F1797" s="2">
        <v>1231</v>
      </c>
      <c r="G1797" s="3">
        <v>77.5</v>
      </c>
      <c r="H1797" s="4" t="str">
        <f>IF(AND(A1797="Yes",C1797="School"),COUNTIFS($A$6:A1797,"Yes",$C$6:C1797,"School"),"")</f>
        <v/>
      </c>
    </row>
    <row r="1798" spans="1:8">
      <c r="A1798" s="13"/>
      <c r="B1798" s="1" t="s">
        <v>3579</v>
      </c>
      <c r="C1798" s="1" t="s">
        <v>24</v>
      </c>
      <c r="D1798" s="1" t="s">
        <v>1670</v>
      </c>
      <c r="E1798" s="1" t="s">
        <v>3581</v>
      </c>
      <c r="F1798" s="2">
        <v>292</v>
      </c>
      <c r="G1798" s="3">
        <v>82.9</v>
      </c>
      <c r="H1798" s="4" t="str">
        <f>IF(AND(A1798="Yes",C1798="School"),COUNTIFS($A$6:A1798,"Yes",$C$6:C1798,"School"),"")</f>
        <v/>
      </c>
    </row>
    <row r="1799" spans="1:8">
      <c r="A1799" s="13"/>
      <c r="B1799" s="1" t="s">
        <v>3579</v>
      </c>
      <c r="C1799" s="1" t="s">
        <v>24</v>
      </c>
      <c r="D1799" s="1" t="s">
        <v>3582</v>
      </c>
      <c r="E1799" s="1" t="s">
        <v>3583</v>
      </c>
      <c r="F1799" s="2">
        <v>255</v>
      </c>
      <c r="G1799" s="3">
        <v>82</v>
      </c>
      <c r="H1799" s="4" t="str">
        <f>IF(AND(A1799="Yes",C1799="School"),COUNTIFS($A$6:A1799,"Yes",$C$6:C1799,"School"),"")</f>
        <v/>
      </c>
    </row>
    <row r="1800" spans="1:8">
      <c r="A1800" s="13"/>
      <c r="B1800" s="1" t="s">
        <v>3579</v>
      </c>
      <c r="C1800" s="1" t="s">
        <v>24</v>
      </c>
      <c r="D1800" s="1" t="s">
        <v>3584</v>
      </c>
      <c r="E1800" s="1" t="s">
        <v>3585</v>
      </c>
      <c r="F1800" s="2">
        <v>287</v>
      </c>
      <c r="G1800" s="3">
        <v>79.099999999999994</v>
      </c>
      <c r="H1800" s="4" t="str">
        <f>IF(AND(A1800="Yes",C1800="School"),COUNTIFS($A$6:A1800,"Yes",$C$6:C1800,"School"),"")</f>
        <v/>
      </c>
    </row>
    <row r="1801" spans="1:8">
      <c r="A1801" s="13"/>
      <c r="B1801" s="1" t="s">
        <v>3579</v>
      </c>
      <c r="C1801" s="1" t="s">
        <v>24</v>
      </c>
      <c r="D1801" s="1" t="s">
        <v>3586</v>
      </c>
      <c r="E1801" s="1" t="s">
        <v>3587</v>
      </c>
      <c r="F1801" s="2">
        <v>237</v>
      </c>
      <c r="G1801" s="3">
        <v>78.099999999999994</v>
      </c>
      <c r="H1801" s="4" t="str">
        <f>IF(AND(A1801="Yes",C1801="School"),COUNTIFS($A$6:A1801,"Yes",$C$6:C1801,"School"),"")</f>
        <v/>
      </c>
    </row>
    <row r="1802" spans="1:8">
      <c r="A1802" s="13"/>
      <c r="B1802" s="1" t="s">
        <v>3579</v>
      </c>
      <c r="C1802" s="1" t="s">
        <v>24</v>
      </c>
      <c r="D1802" s="1" t="s">
        <v>3588</v>
      </c>
      <c r="E1802" s="1" t="s">
        <v>3589</v>
      </c>
      <c r="F1802" s="2">
        <v>140</v>
      </c>
      <c r="G1802" s="3">
        <v>55.7</v>
      </c>
      <c r="H1802" s="4" t="str">
        <f>IF(AND(A1802="Yes",C1802="School"),COUNTIFS($A$6:A1802,"Yes",$C$6:C1802,"School"),"")</f>
        <v/>
      </c>
    </row>
    <row r="1803" spans="1:8">
      <c r="A1803" s="13"/>
      <c r="B1803" s="1" t="s">
        <v>3579</v>
      </c>
      <c r="C1803" s="1" t="s">
        <v>24</v>
      </c>
      <c r="D1803" s="1" t="s">
        <v>3590</v>
      </c>
      <c r="E1803" s="1" t="s">
        <v>3591</v>
      </c>
      <c r="F1803" s="2">
        <v>20</v>
      </c>
      <c r="G1803" s="3">
        <v>65</v>
      </c>
      <c r="H1803" s="4" t="str">
        <f>IF(AND(A1803="Yes",C1803="School"),COUNTIFS($A$6:A1803,"Yes",$C$6:C1803,"School"),"")</f>
        <v/>
      </c>
    </row>
    <row r="1804" spans="1:8">
      <c r="A1804" s="13"/>
      <c r="B1804" s="1" t="s">
        <v>3592</v>
      </c>
      <c r="C1804" s="1" t="s">
        <v>24</v>
      </c>
      <c r="D1804" s="1" t="s">
        <v>3592</v>
      </c>
      <c r="E1804" s="1" t="s">
        <v>3593</v>
      </c>
      <c r="F1804" s="2">
        <v>249</v>
      </c>
      <c r="G1804" s="3">
        <v>49</v>
      </c>
      <c r="H1804" s="4" t="str">
        <f>IF(AND(A1804="Yes",C1804="School"),COUNTIFS($A$6:A1804,"Yes",$C$6:C1804,"School"),"")</f>
        <v/>
      </c>
    </row>
    <row r="1805" spans="1:8">
      <c r="A1805" s="13"/>
      <c r="B1805" s="1" t="s">
        <v>3594</v>
      </c>
      <c r="C1805" s="1" t="s">
        <v>24</v>
      </c>
      <c r="D1805" s="1" t="s">
        <v>3594</v>
      </c>
      <c r="E1805" s="1" t="s">
        <v>3595</v>
      </c>
      <c r="F1805" s="2">
        <v>530</v>
      </c>
      <c r="G1805" s="3">
        <v>42.1</v>
      </c>
      <c r="H1805" s="4" t="str">
        <f>IF(AND(A1805="Yes",C1805="School"),COUNTIFS($A$6:A1805,"Yes",$C$6:C1805,"School"),"")</f>
        <v/>
      </c>
    </row>
    <row r="1806" spans="1:8">
      <c r="A1806" s="13"/>
      <c r="B1806" s="1" t="s">
        <v>3596</v>
      </c>
      <c r="C1806" s="1" t="s">
        <v>40</v>
      </c>
      <c r="D1806" s="1" t="s">
        <v>41</v>
      </c>
      <c r="E1806" s="1" t="s">
        <v>3597</v>
      </c>
      <c r="F1806" s="2">
        <v>26380</v>
      </c>
      <c r="G1806" s="3">
        <v>48.7</v>
      </c>
      <c r="H1806" s="4" t="str">
        <f>IF(AND(A1806="Yes",C1806="School"),COUNTIFS($A$6:A1806,"Yes",$C$6:C1806,"School"),"")</f>
        <v/>
      </c>
    </row>
    <row r="1807" spans="1:8">
      <c r="A1807" s="13"/>
      <c r="B1807" s="1" t="s">
        <v>3596</v>
      </c>
      <c r="C1807" s="1" t="s">
        <v>24</v>
      </c>
      <c r="D1807" s="1" t="s">
        <v>3598</v>
      </c>
      <c r="E1807" s="1" t="s">
        <v>3599</v>
      </c>
      <c r="F1807" s="2">
        <v>476</v>
      </c>
      <c r="G1807" s="3">
        <v>63.4</v>
      </c>
      <c r="H1807" s="4" t="str">
        <f>IF(AND(A1807="Yes",C1807="School"),COUNTIFS($A$6:A1807,"Yes",$C$6:C1807,"School"),"")</f>
        <v/>
      </c>
    </row>
    <row r="1808" spans="1:8">
      <c r="A1808" s="13"/>
      <c r="B1808" s="1" t="s">
        <v>3596</v>
      </c>
      <c r="C1808" s="1" t="s">
        <v>24</v>
      </c>
      <c r="D1808" s="1" t="s">
        <v>3600</v>
      </c>
      <c r="E1808" s="1" t="s">
        <v>3601</v>
      </c>
      <c r="F1808" s="2">
        <v>481</v>
      </c>
      <c r="G1808" s="3">
        <v>66.3</v>
      </c>
      <c r="H1808" s="4" t="str">
        <f>IF(AND(A1808="Yes",C1808="School"),COUNTIFS($A$6:A1808,"Yes",$C$6:C1808,"School"),"")</f>
        <v/>
      </c>
    </row>
    <row r="1809" spans="1:8">
      <c r="A1809" s="13"/>
      <c r="B1809" s="1" t="s">
        <v>3596</v>
      </c>
      <c r="C1809" s="1" t="s">
        <v>24</v>
      </c>
      <c r="D1809" s="1" t="s">
        <v>3602</v>
      </c>
      <c r="E1809" s="1" t="s">
        <v>3603</v>
      </c>
      <c r="F1809" s="2">
        <v>546</v>
      </c>
      <c r="G1809" s="3">
        <v>45.2</v>
      </c>
      <c r="H1809" s="4" t="str">
        <f>IF(AND(A1809="Yes",C1809="School"),COUNTIFS($A$6:A1809,"Yes",$C$6:C1809,"School"),"")</f>
        <v/>
      </c>
    </row>
    <row r="1810" spans="1:8">
      <c r="A1810" s="13"/>
      <c r="B1810" s="1" t="s">
        <v>3596</v>
      </c>
      <c r="C1810" s="1" t="s">
        <v>24</v>
      </c>
      <c r="D1810" s="1" t="s">
        <v>3604</v>
      </c>
      <c r="E1810" s="1" t="s">
        <v>3605</v>
      </c>
      <c r="F1810" s="2">
        <v>531</v>
      </c>
      <c r="G1810" s="3">
        <v>48.4</v>
      </c>
      <c r="H1810" s="4" t="str">
        <f>IF(AND(A1810="Yes",C1810="School"),COUNTIFS($A$6:A1810,"Yes",$C$6:C1810,"School"),"")</f>
        <v/>
      </c>
    </row>
    <row r="1811" spans="1:8">
      <c r="A1811" s="13"/>
      <c r="B1811" s="1" t="s">
        <v>3596</v>
      </c>
      <c r="C1811" s="1" t="s">
        <v>24</v>
      </c>
      <c r="D1811" s="1" t="s">
        <v>3606</v>
      </c>
      <c r="E1811" s="1" t="s">
        <v>3607</v>
      </c>
      <c r="F1811" s="2">
        <v>254</v>
      </c>
      <c r="G1811" s="3">
        <v>63.8</v>
      </c>
      <c r="H1811" s="4" t="str">
        <f>IF(AND(A1811="Yes",C1811="School"),COUNTIFS($A$6:A1811,"Yes",$C$6:C1811,"School"),"")</f>
        <v/>
      </c>
    </row>
    <row r="1812" spans="1:8">
      <c r="A1812" s="13"/>
      <c r="B1812" s="1" t="s">
        <v>3596</v>
      </c>
      <c r="C1812" s="1" t="s">
        <v>24</v>
      </c>
      <c r="D1812" s="1" t="s">
        <v>3608</v>
      </c>
      <c r="E1812" s="1" t="s">
        <v>3609</v>
      </c>
      <c r="F1812" s="2">
        <v>838</v>
      </c>
      <c r="G1812" s="3">
        <v>31.3</v>
      </c>
      <c r="H1812" s="4" t="str">
        <f>IF(AND(A1812="Yes",C1812="School"),COUNTIFS($A$6:A1812,"Yes",$C$6:C1812,"School"),"")</f>
        <v/>
      </c>
    </row>
    <row r="1813" spans="1:8">
      <c r="A1813" s="13"/>
      <c r="B1813" s="1" t="s">
        <v>3596</v>
      </c>
      <c r="C1813" s="1" t="s">
        <v>24</v>
      </c>
      <c r="D1813" s="1" t="s">
        <v>3610</v>
      </c>
      <c r="E1813" s="1" t="s">
        <v>3611</v>
      </c>
      <c r="F1813" s="2">
        <v>722</v>
      </c>
      <c r="G1813" s="3">
        <v>34.799999999999997</v>
      </c>
      <c r="H1813" s="4" t="str">
        <f>IF(AND(A1813="Yes",C1813="School"),COUNTIFS($A$6:A1813,"Yes",$C$6:C1813,"School"),"")</f>
        <v/>
      </c>
    </row>
    <row r="1814" spans="1:8">
      <c r="A1814" s="13"/>
      <c r="B1814" s="1" t="s">
        <v>3596</v>
      </c>
      <c r="C1814" s="1" t="s">
        <v>24</v>
      </c>
      <c r="D1814" s="1" t="s">
        <v>3612</v>
      </c>
      <c r="E1814" s="1" t="s">
        <v>3613</v>
      </c>
      <c r="F1814" s="2">
        <v>1024</v>
      </c>
      <c r="G1814" s="3">
        <v>31.3</v>
      </c>
      <c r="H1814" s="4" t="str">
        <f>IF(AND(A1814="Yes",C1814="School"),COUNTIFS($A$6:A1814,"Yes",$C$6:C1814,"School"),"")</f>
        <v/>
      </c>
    </row>
    <row r="1815" spans="1:8">
      <c r="A1815" s="13"/>
      <c r="B1815" s="1" t="s">
        <v>3596</v>
      </c>
      <c r="C1815" s="1" t="s">
        <v>24</v>
      </c>
      <c r="D1815" s="1" t="s">
        <v>3614</v>
      </c>
      <c r="E1815" s="1" t="s">
        <v>3615</v>
      </c>
      <c r="F1815" s="2">
        <v>977</v>
      </c>
      <c r="G1815" s="3">
        <v>34.9</v>
      </c>
      <c r="H1815" s="4" t="str">
        <f>IF(AND(A1815="Yes",C1815="School"),COUNTIFS($A$6:A1815,"Yes",$C$6:C1815,"School"),"")</f>
        <v/>
      </c>
    </row>
    <row r="1816" spans="1:8">
      <c r="A1816" s="13"/>
      <c r="B1816" s="1" t="s">
        <v>3596</v>
      </c>
      <c r="C1816" s="1" t="s">
        <v>24</v>
      </c>
      <c r="D1816" s="1" t="s">
        <v>3616</v>
      </c>
      <c r="E1816" s="1" t="s">
        <v>3617</v>
      </c>
      <c r="F1816" s="2">
        <v>553</v>
      </c>
      <c r="G1816" s="3">
        <v>52.1</v>
      </c>
      <c r="H1816" s="4" t="str">
        <f>IF(AND(A1816="Yes",C1816="School"),COUNTIFS($A$6:A1816,"Yes",$C$6:C1816,"School"),"")</f>
        <v/>
      </c>
    </row>
    <row r="1817" spans="1:8">
      <c r="A1817" s="13"/>
      <c r="B1817" s="1" t="s">
        <v>3596</v>
      </c>
      <c r="C1817" s="1" t="s">
        <v>24</v>
      </c>
      <c r="D1817" s="1" t="s">
        <v>3618</v>
      </c>
      <c r="E1817" s="1" t="s">
        <v>3619</v>
      </c>
      <c r="F1817" s="2">
        <v>577</v>
      </c>
      <c r="G1817" s="3">
        <v>65</v>
      </c>
      <c r="H1817" s="4" t="str">
        <f>IF(AND(A1817="Yes",C1817="School"),COUNTIFS($A$6:A1817,"Yes",$C$6:C1817,"School"),"")</f>
        <v/>
      </c>
    </row>
    <row r="1818" spans="1:8">
      <c r="A1818" s="13"/>
      <c r="B1818" s="1" t="s">
        <v>3596</v>
      </c>
      <c r="C1818" s="1" t="s">
        <v>24</v>
      </c>
      <c r="D1818" s="1" t="s">
        <v>3620</v>
      </c>
      <c r="E1818" s="1" t="s">
        <v>3621</v>
      </c>
      <c r="F1818" s="2">
        <v>836</v>
      </c>
      <c r="G1818" s="3">
        <v>51.1</v>
      </c>
      <c r="H1818" s="4" t="str">
        <f>IF(AND(A1818="Yes",C1818="School"),COUNTIFS($A$6:A1818,"Yes",$C$6:C1818,"School"),"")</f>
        <v/>
      </c>
    </row>
    <row r="1819" spans="1:8">
      <c r="A1819" s="13"/>
      <c r="B1819" s="1" t="s">
        <v>3596</v>
      </c>
      <c r="C1819" s="1" t="s">
        <v>24</v>
      </c>
      <c r="D1819" s="1" t="s">
        <v>3622</v>
      </c>
      <c r="E1819" s="1" t="s">
        <v>3623</v>
      </c>
      <c r="F1819" s="2">
        <v>510</v>
      </c>
      <c r="G1819" s="3">
        <v>66.099999999999994</v>
      </c>
      <c r="H1819" s="4" t="str">
        <f>IF(AND(A1819="Yes",C1819="School"),COUNTIFS($A$6:A1819,"Yes",$C$6:C1819,"School"),"")</f>
        <v/>
      </c>
    </row>
    <row r="1820" spans="1:8">
      <c r="A1820" s="13"/>
      <c r="B1820" s="1" t="s">
        <v>3596</v>
      </c>
      <c r="C1820" s="1" t="s">
        <v>24</v>
      </c>
      <c r="D1820" s="1" t="s">
        <v>3624</v>
      </c>
      <c r="E1820" s="1" t="s">
        <v>3625</v>
      </c>
      <c r="F1820" s="2">
        <v>906</v>
      </c>
      <c r="G1820" s="3">
        <v>62.9</v>
      </c>
      <c r="H1820" s="4" t="str">
        <f>IF(AND(A1820="Yes",C1820="School"),COUNTIFS($A$6:A1820,"Yes",$C$6:C1820,"School"),"")</f>
        <v/>
      </c>
    </row>
    <row r="1821" spans="1:8">
      <c r="A1821" s="13"/>
      <c r="B1821" s="1" t="s">
        <v>3596</v>
      </c>
      <c r="C1821" s="1" t="s">
        <v>24</v>
      </c>
      <c r="D1821" s="1" t="s">
        <v>3626</v>
      </c>
      <c r="E1821" s="1" t="s">
        <v>3627</v>
      </c>
      <c r="F1821" s="2">
        <v>1310</v>
      </c>
      <c r="G1821" s="3">
        <v>42.9</v>
      </c>
      <c r="H1821" s="4" t="str">
        <f>IF(AND(A1821="Yes",C1821="School"),COUNTIFS($A$6:A1821,"Yes",$C$6:C1821,"School"),"")</f>
        <v/>
      </c>
    </row>
    <row r="1822" spans="1:8">
      <c r="A1822" s="13"/>
      <c r="B1822" s="1" t="s">
        <v>3596</v>
      </c>
      <c r="C1822" s="1" t="s">
        <v>24</v>
      </c>
      <c r="D1822" s="1" t="s">
        <v>3628</v>
      </c>
      <c r="E1822" s="1" t="s">
        <v>3629</v>
      </c>
      <c r="F1822" s="2">
        <v>516</v>
      </c>
      <c r="G1822" s="3">
        <v>62.4</v>
      </c>
      <c r="H1822" s="4" t="str">
        <f>IF(AND(A1822="Yes",C1822="School"),COUNTIFS($A$6:A1822,"Yes",$C$6:C1822,"School"),"")</f>
        <v/>
      </c>
    </row>
    <row r="1823" spans="1:8">
      <c r="A1823" s="13"/>
      <c r="B1823" s="1" t="s">
        <v>3596</v>
      </c>
      <c r="C1823" s="1" t="s">
        <v>24</v>
      </c>
      <c r="D1823" s="1" t="s">
        <v>3630</v>
      </c>
      <c r="E1823" s="1" t="s">
        <v>3631</v>
      </c>
      <c r="F1823" s="2">
        <v>603</v>
      </c>
      <c r="G1823" s="3">
        <v>56.6</v>
      </c>
      <c r="H1823" s="4" t="str">
        <f>IF(AND(A1823="Yes",C1823="School"),COUNTIFS($A$6:A1823,"Yes",$C$6:C1823,"School"),"")</f>
        <v/>
      </c>
    </row>
    <row r="1824" spans="1:8">
      <c r="A1824" s="13"/>
      <c r="B1824" s="1" t="s">
        <v>3596</v>
      </c>
      <c r="C1824" s="1" t="s">
        <v>24</v>
      </c>
      <c r="D1824" s="1" t="s">
        <v>3632</v>
      </c>
      <c r="E1824" s="1" t="s">
        <v>3633</v>
      </c>
      <c r="F1824" s="2">
        <v>468</v>
      </c>
      <c r="G1824" s="3">
        <v>40.200000000000003</v>
      </c>
      <c r="H1824" s="4" t="str">
        <f>IF(AND(A1824="Yes",C1824="School"),COUNTIFS($A$6:A1824,"Yes",$C$6:C1824,"School"),"")</f>
        <v/>
      </c>
    </row>
    <row r="1825" spans="1:8">
      <c r="A1825" s="13"/>
      <c r="B1825" s="1" t="s">
        <v>3596</v>
      </c>
      <c r="C1825" s="1" t="s">
        <v>24</v>
      </c>
      <c r="D1825" s="1" t="s">
        <v>287</v>
      </c>
      <c r="E1825" s="1" t="s">
        <v>3634</v>
      </c>
      <c r="F1825" s="2">
        <v>994</v>
      </c>
      <c r="G1825" s="3">
        <v>54</v>
      </c>
      <c r="H1825" s="4" t="str">
        <f>IF(AND(A1825="Yes",C1825="School"),COUNTIFS($A$6:A1825,"Yes",$C$6:C1825,"School"),"")</f>
        <v/>
      </c>
    </row>
    <row r="1826" spans="1:8">
      <c r="A1826" s="13"/>
      <c r="B1826" s="1" t="s">
        <v>3596</v>
      </c>
      <c r="C1826" s="1" t="s">
        <v>24</v>
      </c>
      <c r="D1826" s="1" t="s">
        <v>3635</v>
      </c>
      <c r="E1826" s="1" t="s">
        <v>3636</v>
      </c>
      <c r="F1826" s="2">
        <v>427</v>
      </c>
      <c r="G1826" s="3">
        <v>64.2</v>
      </c>
      <c r="H1826" s="4" t="str">
        <f>IF(AND(A1826="Yes",C1826="School"),COUNTIFS($A$6:A1826,"Yes",$C$6:C1826,"School"),"")</f>
        <v/>
      </c>
    </row>
    <row r="1827" spans="1:8">
      <c r="A1827" s="13"/>
      <c r="B1827" s="1" t="s">
        <v>3596</v>
      </c>
      <c r="C1827" s="1" t="s">
        <v>24</v>
      </c>
      <c r="D1827" s="1" t="s">
        <v>3637</v>
      </c>
      <c r="E1827" s="1" t="s">
        <v>3638</v>
      </c>
      <c r="F1827" s="2">
        <v>627</v>
      </c>
      <c r="G1827" s="3">
        <v>50.2</v>
      </c>
      <c r="H1827" s="4" t="str">
        <f>IF(AND(A1827="Yes",C1827="School"),COUNTIFS($A$6:A1827,"Yes",$C$6:C1827,"School"),"")</f>
        <v/>
      </c>
    </row>
    <row r="1828" spans="1:8">
      <c r="A1828" s="13"/>
      <c r="B1828" s="1" t="s">
        <v>3596</v>
      </c>
      <c r="C1828" s="1" t="s">
        <v>24</v>
      </c>
      <c r="D1828" s="1" t="s">
        <v>3639</v>
      </c>
      <c r="E1828" s="1" t="s">
        <v>3640</v>
      </c>
      <c r="F1828" s="2">
        <v>189</v>
      </c>
      <c r="G1828" s="3">
        <v>19</v>
      </c>
      <c r="H1828" s="4" t="str">
        <f>IF(AND(A1828="Yes",C1828="School"),COUNTIFS($A$6:A1828,"Yes",$C$6:C1828,"School"),"")</f>
        <v/>
      </c>
    </row>
    <row r="1829" spans="1:8">
      <c r="A1829" s="13"/>
      <c r="B1829" s="1" t="s">
        <v>3596</v>
      </c>
      <c r="C1829" s="1" t="s">
        <v>24</v>
      </c>
      <c r="D1829" s="1" t="s">
        <v>3641</v>
      </c>
      <c r="E1829" s="1" t="s">
        <v>3642</v>
      </c>
      <c r="F1829" s="2">
        <v>338</v>
      </c>
      <c r="G1829" s="3">
        <v>48.8</v>
      </c>
      <c r="H1829" s="4" t="str">
        <f>IF(AND(A1829="Yes",C1829="School"),COUNTIFS($A$6:A1829,"Yes",$C$6:C1829,"School"),"")</f>
        <v/>
      </c>
    </row>
    <row r="1830" spans="1:8">
      <c r="A1830" s="13"/>
      <c r="B1830" s="1" t="s">
        <v>3596</v>
      </c>
      <c r="C1830" s="1" t="s">
        <v>24</v>
      </c>
      <c r="D1830" s="1" t="s">
        <v>1939</v>
      </c>
      <c r="E1830" s="1" t="s">
        <v>3643</v>
      </c>
      <c r="F1830" s="2">
        <v>423</v>
      </c>
      <c r="G1830" s="3">
        <v>57.4</v>
      </c>
      <c r="H1830" s="4" t="str">
        <f>IF(AND(A1830="Yes",C1830="School"),COUNTIFS($A$6:A1830,"Yes",$C$6:C1830,"School"),"")</f>
        <v/>
      </c>
    </row>
    <row r="1831" spans="1:8">
      <c r="A1831" s="13"/>
      <c r="B1831" s="1" t="s">
        <v>3596</v>
      </c>
      <c r="C1831" s="1" t="s">
        <v>24</v>
      </c>
      <c r="D1831" s="1" t="s">
        <v>3644</v>
      </c>
      <c r="E1831" s="1" t="s">
        <v>3645</v>
      </c>
      <c r="F1831" s="2">
        <v>587</v>
      </c>
      <c r="G1831" s="3">
        <v>51.4</v>
      </c>
      <c r="H1831" s="4" t="str">
        <f>IF(AND(A1831="Yes",C1831="School"),COUNTIFS($A$6:A1831,"Yes",$C$6:C1831,"School"),"")</f>
        <v/>
      </c>
    </row>
    <row r="1832" spans="1:8">
      <c r="A1832" s="13"/>
      <c r="B1832" s="1" t="s">
        <v>3596</v>
      </c>
      <c r="C1832" s="1" t="s">
        <v>24</v>
      </c>
      <c r="D1832" s="1" t="s">
        <v>3646</v>
      </c>
      <c r="E1832" s="1" t="s">
        <v>3647</v>
      </c>
      <c r="F1832" s="2">
        <v>595</v>
      </c>
      <c r="G1832" s="3">
        <v>48.1</v>
      </c>
      <c r="H1832" s="4" t="str">
        <f>IF(AND(A1832="Yes",C1832="School"),COUNTIFS($A$6:A1832,"Yes",$C$6:C1832,"School"),"")</f>
        <v/>
      </c>
    </row>
    <row r="1833" spans="1:8">
      <c r="A1833" s="13"/>
      <c r="B1833" s="1" t="s">
        <v>3596</v>
      </c>
      <c r="C1833" s="1" t="s">
        <v>24</v>
      </c>
      <c r="D1833" s="1" t="s">
        <v>3648</v>
      </c>
      <c r="E1833" s="1" t="s">
        <v>3649</v>
      </c>
      <c r="F1833" s="2">
        <v>915</v>
      </c>
      <c r="G1833" s="3">
        <v>40.5</v>
      </c>
      <c r="H1833" s="4" t="str">
        <f>IF(AND(A1833="Yes",C1833="School"),COUNTIFS($A$6:A1833,"Yes",$C$6:C1833,"School"),"")</f>
        <v/>
      </c>
    </row>
    <row r="1834" spans="1:8">
      <c r="A1834" s="13"/>
      <c r="B1834" s="1" t="s">
        <v>3596</v>
      </c>
      <c r="C1834" s="1" t="s">
        <v>24</v>
      </c>
      <c r="D1834" s="1" t="s">
        <v>3650</v>
      </c>
      <c r="E1834" s="1" t="s">
        <v>3651</v>
      </c>
      <c r="F1834" s="2">
        <v>559</v>
      </c>
      <c r="G1834" s="3">
        <v>60.1</v>
      </c>
      <c r="H1834" s="4" t="str">
        <f>IF(AND(A1834="Yes",C1834="School"),COUNTIFS($A$6:A1834,"Yes",$C$6:C1834,"School"),"")</f>
        <v/>
      </c>
    </row>
    <row r="1835" spans="1:8">
      <c r="A1835" s="13"/>
      <c r="B1835" s="1" t="s">
        <v>3596</v>
      </c>
      <c r="C1835" s="1" t="s">
        <v>24</v>
      </c>
      <c r="D1835" s="1" t="s">
        <v>3652</v>
      </c>
      <c r="E1835" s="1" t="s">
        <v>3653</v>
      </c>
      <c r="F1835" s="2">
        <v>378</v>
      </c>
      <c r="G1835" s="3">
        <v>29.1</v>
      </c>
      <c r="H1835" s="4" t="str">
        <f>IF(AND(A1835="Yes",C1835="School"),COUNTIFS($A$6:A1835,"Yes",$C$6:C1835,"School"),"")</f>
        <v/>
      </c>
    </row>
    <row r="1836" spans="1:8">
      <c r="A1836" s="13"/>
      <c r="B1836" s="1" t="s">
        <v>3596</v>
      </c>
      <c r="C1836" s="1" t="s">
        <v>24</v>
      </c>
      <c r="D1836" s="1" t="s">
        <v>1955</v>
      </c>
      <c r="E1836" s="1" t="s">
        <v>3654</v>
      </c>
      <c r="F1836" s="2">
        <v>688</v>
      </c>
      <c r="G1836" s="3">
        <v>56.8</v>
      </c>
      <c r="H1836" s="4" t="str">
        <f>IF(AND(A1836="Yes",C1836="School"),COUNTIFS($A$6:A1836,"Yes",$C$6:C1836,"School"),"")</f>
        <v/>
      </c>
    </row>
    <row r="1837" spans="1:8">
      <c r="A1837" s="13"/>
      <c r="B1837" s="1" t="s">
        <v>3596</v>
      </c>
      <c r="C1837" s="1" t="s">
        <v>24</v>
      </c>
      <c r="D1837" s="1" t="s">
        <v>3655</v>
      </c>
      <c r="E1837" s="1" t="s">
        <v>3656</v>
      </c>
      <c r="F1837" s="2">
        <v>745</v>
      </c>
      <c r="G1837" s="3">
        <v>56</v>
      </c>
      <c r="H1837" s="4" t="str">
        <f>IF(AND(A1837="Yes",C1837="School"),COUNTIFS($A$6:A1837,"Yes",$C$6:C1837,"School"),"")</f>
        <v/>
      </c>
    </row>
    <row r="1838" spans="1:8">
      <c r="A1838" s="13"/>
      <c r="B1838" s="1" t="s">
        <v>3596</v>
      </c>
      <c r="C1838" s="1" t="s">
        <v>24</v>
      </c>
      <c r="D1838" s="1" t="s">
        <v>2197</v>
      </c>
      <c r="E1838" s="1" t="s">
        <v>3657</v>
      </c>
      <c r="F1838" s="2">
        <v>494</v>
      </c>
      <c r="G1838" s="3">
        <v>61.1</v>
      </c>
      <c r="H1838" s="4" t="str">
        <f>IF(AND(A1838="Yes",C1838="School"),COUNTIFS($A$6:A1838,"Yes",$C$6:C1838,"School"),"")</f>
        <v/>
      </c>
    </row>
    <row r="1839" spans="1:8">
      <c r="A1839" s="13"/>
      <c r="B1839" s="1" t="s">
        <v>3596</v>
      </c>
      <c r="C1839" s="1" t="s">
        <v>24</v>
      </c>
      <c r="D1839" s="1" t="s">
        <v>3658</v>
      </c>
      <c r="E1839" s="1" t="s">
        <v>3659</v>
      </c>
      <c r="F1839" s="2">
        <v>584</v>
      </c>
      <c r="G1839" s="3">
        <v>46.2</v>
      </c>
      <c r="H1839" s="4" t="str">
        <f>IF(AND(A1839="Yes",C1839="School"),COUNTIFS($A$6:A1839,"Yes",$C$6:C1839,"School"),"")</f>
        <v/>
      </c>
    </row>
    <row r="1840" spans="1:8">
      <c r="A1840" s="13"/>
      <c r="B1840" s="1" t="s">
        <v>3596</v>
      </c>
      <c r="C1840" s="1" t="s">
        <v>24</v>
      </c>
      <c r="D1840" s="1" t="s">
        <v>3660</v>
      </c>
      <c r="E1840" s="1" t="s">
        <v>3661</v>
      </c>
      <c r="F1840" s="2">
        <v>510</v>
      </c>
      <c r="G1840" s="3">
        <v>69</v>
      </c>
      <c r="H1840" s="4" t="str">
        <f>IF(AND(A1840="Yes",C1840="School"),COUNTIFS($A$6:A1840,"Yes",$C$6:C1840,"School"),"")</f>
        <v/>
      </c>
    </row>
    <row r="1841" spans="1:8">
      <c r="A1841" s="13"/>
      <c r="B1841" s="1" t="s">
        <v>3596</v>
      </c>
      <c r="C1841" s="1" t="s">
        <v>24</v>
      </c>
      <c r="D1841" s="1" t="s">
        <v>3662</v>
      </c>
      <c r="E1841" s="1" t="s">
        <v>3663</v>
      </c>
      <c r="F1841" s="2">
        <v>495</v>
      </c>
      <c r="G1841" s="3">
        <v>39.200000000000003</v>
      </c>
      <c r="H1841" s="4" t="str">
        <f>IF(AND(A1841="Yes",C1841="School"),COUNTIFS($A$6:A1841,"Yes",$C$6:C1841,"School"),"")</f>
        <v/>
      </c>
    </row>
    <row r="1842" spans="1:8">
      <c r="A1842" s="13"/>
      <c r="B1842" s="1" t="s">
        <v>3596</v>
      </c>
      <c r="C1842" s="1" t="s">
        <v>24</v>
      </c>
      <c r="D1842" s="1" t="s">
        <v>3664</v>
      </c>
      <c r="E1842" s="1" t="s">
        <v>3665</v>
      </c>
      <c r="F1842" s="2">
        <v>1203</v>
      </c>
      <c r="G1842" s="3">
        <v>33.200000000000003</v>
      </c>
      <c r="H1842" s="4" t="str">
        <f>IF(AND(A1842="Yes",C1842="School"),COUNTIFS($A$6:A1842,"Yes",$C$6:C1842,"School"),"")</f>
        <v/>
      </c>
    </row>
    <row r="1843" spans="1:8">
      <c r="A1843" s="13"/>
      <c r="B1843" s="1" t="s">
        <v>3596</v>
      </c>
      <c r="C1843" s="1" t="s">
        <v>24</v>
      </c>
      <c r="D1843" s="1" t="s">
        <v>3666</v>
      </c>
      <c r="E1843" s="1" t="s">
        <v>3667</v>
      </c>
      <c r="F1843" s="2">
        <v>1018</v>
      </c>
      <c r="G1843" s="3">
        <v>41</v>
      </c>
      <c r="H1843" s="4" t="str">
        <f>IF(AND(A1843="Yes",C1843="School"),COUNTIFS($A$6:A1843,"Yes",$C$6:C1843,"School"),"")</f>
        <v/>
      </c>
    </row>
    <row r="1844" spans="1:8">
      <c r="A1844" s="13"/>
      <c r="B1844" s="1" t="s">
        <v>3596</v>
      </c>
      <c r="C1844" s="1" t="s">
        <v>24</v>
      </c>
      <c r="D1844" s="1" t="s">
        <v>3668</v>
      </c>
      <c r="E1844" s="1" t="s">
        <v>3669</v>
      </c>
      <c r="F1844" s="2">
        <v>745</v>
      </c>
      <c r="G1844" s="3">
        <v>47.2</v>
      </c>
      <c r="H1844" s="4" t="str">
        <f>IF(AND(A1844="Yes",C1844="School"),COUNTIFS($A$6:A1844,"Yes",$C$6:C1844,"School"),"")</f>
        <v/>
      </c>
    </row>
    <row r="1845" spans="1:8">
      <c r="A1845" s="13"/>
      <c r="B1845" s="1" t="s">
        <v>3596</v>
      </c>
      <c r="C1845" s="1" t="s">
        <v>24</v>
      </c>
      <c r="D1845" s="1" t="s">
        <v>3670</v>
      </c>
      <c r="E1845" s="1" t="s">
        <v>3671</v>
      </c>
      <c r="F1845" s="2">
        <v>1170</v>
      </c>
      <c r="G1845" s="3">
        <v>48.5</v>
      </c>
      <c r="H1845" s="4" t="str">
        <f>IF(AND(A1845="Yes",C1845="School"),COUNTIFS($A$6:A1845,"Yes",$C$6:C1845,"School"),"")</f>
        <v/>
      </c>
    </row>
    <row r="1846" spans="1:8">
      <c r="A1846" s="13"/>
      <c r="B1846" s="1" t="s">
        <v>3596</v>
      </c>
      <c r="C1846" s="1" t="s">
        <v>24</v>
      </c>
      <c r="D1846" s="1" t="s">
        <v>3672</v>
      </c>
      <c r="E1846" s="1" t="s">
        <v>3673</v>
      </c>
      <c r="F1846" s="2">
        <v>568</v>
      </c>
      <c r="G1846" s="3">
        <v>58.6</v>
      </c>
      <c r="H1846" s="4" t="str">
        <f>IF(AND(A1846="Yes",C1846="School"),COUNTIFS($A$6:A1846,"Yes",$C$6:C1846,"School"),"")</f>
        <v/>
      </c>
    </row>
    <row r="1847" spans="1:8">
      <c r="A1847" s="13"/>
      <c r="B1847" s="1" t="s">
        <v>3674</v>
      </c>
      <c r="C1847" s="1" t="s">
        <v>40</v>
      </c>
      <c r="D1847" s="1" t="s">
        <v>41</v>
      </c>
      <c r="E1847" s="1" t="s">
        <v>3675</v>
      </c>
      <c r="F1847" s="2">
        <v>6731</v>
      </c>
      <c r="G1847" s="3">
        <v>46.6</v>
      </c>
      <c r="H1847" s="4" t="str">
        <f>IF(AND(A1847="Yes",C1847="School"),COUNTIFS($A$6:A1847,"Yes",$C$6:C1847,"School"),"")</f>
        <v/>
      </c>
    </row>
    <row r="1848" spans="1:8">
      <c r="A1848" s="13"/>
      <c r="B1848" s="1" t="s">
        <v>3674</v>
      </c>
      <c r="C1848" s="1" t="s">
        <v>24</v>
      </c>
      <c r="D1848" s="1" t="s">
        <v>3676</v>
      </c>
      <c r="E1848" s="1" t="s">
        <v>3677</v>
      </c>
      <c r="F1848" s="2">
        <v>608</v>
      </c>
      <c r="G1848" s="3">
        <v>55.4</v>
      </c>
      <c r="H1848" s="4" t="str">
        <f>IF(AND(A1848="Yes",C1848="School"),COUNTIFS($A$6:A1848,"Yes",$C$6:C1848,"School"),"")</f>
        <v/>
      </c>
    </row>
    <row r="1849" spans="1:8">
      <c r="A1849" s="13"/>
      <c r="B1849" s="1" t="s">
        <v>3674</v>
      </c>
      <c r="C1849" s="1" t="s">
        <v>24</v>
      </c>
      <c r="D1849" s="1" t="s">
        <v>3678</v>
      </c>
      <c r="E1849" s="1" t="s">
        <v>3679</v>
      </c>
      <c r="F1849" s="2">
        <v>1128</v>
      </c>
      <c r="G1849" s="3">
        <v>41</v>
      </c>
      <c r="H1849" s="4" t="str">
        <f>IF(AND(A1849="Yes",C1849="School"),COUNTIFS($A$6:A1849,"Yes",$C$6:C1849,"School"),"")</f>
        <v/>
      </c>
    </row>
    <row r="1850" spans="1:8">
      <c r="A1850" s="13"/>
      <c r="B1850" s="1" t="s">
        <v>3674</v>
      </c>
      <c r="C1850" s="1" t="s">
        <v>24</v>
      </c>
      <c r="D1850" s="1" t="s">
        <v>1670</v>
      </c>
      <c r="E1850" s="1" t="s">
        <v>3680</v>
      </c>
      <c r="F1850" s="2">
        <v>235</v>
      </c>
      <c r="G1850" s="3">
        <v>62.1</v>
      </c>
      <c r="H1850" s="4" t="str">
        <f>IF(AND(A1850="Yes",C1850="School"),COUNTIFS($A$6:A1850,"Yes",$C$6:C1850,"School"),"")</f>
        <v/>
      </c>
    </row>
    <row r="1851" spans="1:8">
      <c r="A1851" s="13"/>
      <c r="B1851" s="1" t="s">
        <v>3674</v>
      </c>
      <c r="C1851" s="1" t="s">
        <v>24</v>
      </c>
      <c r="D1851" s="1" t="s">
        <v>3681</v>
      </c>
      <c r="E1851" s="1" t="s">
        <v>3682</v>
      </c>
      <c r="F1851" s="2">
        <v>515</v>
      </c>
      <c r="G1851" s="3">
        <v>49.7</v>
      </c>
      <c r="H1851" s="4" t="str">
        <f>IF(AND(A1851="Yes",C1851="School"),COUNTIFS($A$6:A1851,"Yes",$C$6:C1851,"School"),"")</f>
        <v/>
      </c>
    </row>
    <row r="1852" spans="1:8">
      <c r="A1852" s="13"/>
      <c r="B1852" s="1" t="s">
        <v>3674</v>
      </c>
      <c r="C1852" s="1" t="s">
        <v>24</v>
      </c>
      <c r="D1852" s="1" t="s">
        <v>3683</v>
      </c>
      <c r="E1852" s="1" t="s">
        <v>3684</v>
      </c>
      <c r="F1852" s="2">
        <v>378</v>
      </c>
      <c r="G1852" s="3">
        <v>54</v>
      </c>
      <c r="H1852" s="4" t="str">
        <f>IF(AND(A1852="Yes",C1852="School"),COUNTIFS($A$6:A1852,"Yes",$C$6:C1852,"School"),"")</f>
        <v/>
      </c>
    </row>
    <row r="1853" spans="1:8">
      <c r="A1853" s="13"/>
      <c r="B1853" s="1" t="s">
        <v>3674</v>
      </c>
      <c r="C1853" s="1" t="s">
        <v>24</v>
      </c>
      <c r="D1853" s="1" t="s">
        <v>3685</v>
      </c>
      <c r="E1853" s="1" t="s">
        <v>3686</v>
      </c>
      <c r="F1853" s="2">
        <v>441</v>
      </c>
      <c r="G1853" s="3">
        <v>56.5</v>
      </c>
      <c r="H1853" s="4" t="str">
        <f>IF(AND(A1853="Yes",C1853="School"),COUNTIFS($A$6:A1853,"Yes",$C$6:C1853,"School"),"")</f>
        <v/>
      </c>
    </row>
    <row r="1854" spans="1:8">
      <c r="A1854" s="13"/>
      <c r="B1854" s="1" t="s">
        <v>3674</v>
      </c>
      <c r="C1854" s="1" t="s">
        <v>24</v>
      </c>
      <c r="D1854" s="1" t="s">
        <v>3687</v>
      </c>
      <c r="E1854" s="1" t="s">
        <v>3688</v>
      </c>
      <c r="F1854" s="2">
        <v>437</v>
      </c>
      <c r="G1854" s="3">
        <v>15.6</v>
      </c>
      <c r="H1854" s="4" t="str">
        <f>IF(AND(A1854="Yes",C1854="School"),COUNTIFS($A$6:A1854,"Yes",$C$6:C1854,"School"),"")</f>
        <v/>
      </c>
    </row>
    <row r="1855" spans="1:8">
      <c r="A1855" s="13"/>
      <c r="B1855" s="1" t="s">
        <v>3674</v>
      </c>
      <c r="C1855" s="1" t="s">
        <v>24</v>
      </c>
      <c r="D1855" s="1" t="s">
        <v>2182</v>
      </c>
      <c r="E1855" s="1" t="s">
        <v>3689</v>
      </c>
      <c r="F1855" s="2">
        <v>530</v>
      </c>
      <c r="G1855" s="3">
        <v>59.6</v>
      </c>
      <c r="H1855" s="4" t="str">
        <f>IF(AND(A1855="Yes",C1855="School"),COUNTIFS($A$6:A1855,"Yes",$C$6:C1855,"School"),"")</f>
        <v/>
      </c>
    </row>
    <row r="1856" spans="1:8">
      <c r="A1856" s="13"/>
      <c r="B1856" s="1" t="s">
        <v>3674</v>
      </c>
      <c r="C1856" s="1" t="s">
        <v>24</v>
      </c>
      <c r="D1856" s="1" t="s">
        <v>3690</v>
      </c>
      <c r="E1856" s="1" t="s">
        <v>3691</v>
      </c>
      <c r="F1856" s="2">
        <v>1043</v>
      </c>
      <c r="G1856" s="3">
        <v>42.1</v>
      </c>
      <c r="H1856" s="4" t="str">
        <f>IF(AND(A1856="Yes",C1856="School"),COUNTIFS($A$6:A1856,"Yes",$C$6:C1856,"School"),"")</f>
        <v/>
      </c>
    </row>
    <row r="1857" spans="1:8">
      <c r="A1857" s="13"/>
      <c r="B1857" s="1" t="s">
        <v>3674</v>
      </c>
      <c r="C1857" s="1" t="s">
        <v>24</v>
      </c>
      <c r="D1857" s="1" t="s">
        <v>3692</v>
      </c>
      <c r="E1857" s="1" t="s">
        <v>3693</v>
      </c>
      <c r="F1857" s="2">
        <v>546</v>
      </c>
      <c r="G1857" s="3">
        <v>41.9</v>
      </c>
      <c r="H1857" s="4" t="str">
        <f>IF(AND(A1857="Yes",C1857="School"),COUNTIFS($A$6:A1857,"Yes",$C$6:C1857,"School"),"")</f>
        <v/>
      </c>
    </row>
    <row r="1858" spans="1:8">
      <c r="A1858" s="13"/>
      <c r="B1858" s="1" t="s">
        <v>3674</v>
      </c>
      <c r="C1858" s="1" t="s">
        <v>24</v>
      </c>
      <c r="D1858" s="1" t="s">
        <v>3694</v>
      </c>
      <c r="E1858" s="1" t="s">
        <v>3695</v>
      </c>
      <c r="F1858" s="2">
        <v>48</v>
      </c>
      <c r="G1858" s="3">
        <v>68.8</v>
      </c>
      <c r="H1858" s="4" t="str">
        <f>IF(AND(A1858="Yes",C1858="School"),COUNTIFS($A$6:A1858,"Yes",$C$6:C1858,"School"),"")</f>
        <v/>
      </c>
    </row>
    <row r="1859" spans="1:8">
      <c r="A1859" s="13"/>
      <c r="B1859" s="1" t="s">
        <v>3674</v>
      </c>
      <c r="C1859" s="1" t="s">
        <v>24</v>
      </c>
      <c r="D1859" s="1" t="s">
        <v>3696</v>
      </c>
      <c r="E1859" s="1" t="s">
        <v>3697</v>
      </c>
      <c r="F1859" s="2">
        <v>340</v>
      </c>
      <c r="G1859" s="3">
        <v>57.6</v>
      </c>
      <c r="H1859" s="4" t="str">
        <f>IF(AND(A1859="Yes",C1859="School"),COUNTIFS($A$6:A1859,"Yes",$C$6:C1859,"School"),"")</f>
        <v/>
      </c>
    </row>
    <row r="1860" spans="1:8">
      <c r="A1860" s="13"/>
      <c r="B1860" s="1" t="s">
        <v>3674</v>
      </c>
      <c r="C1860" s="1" t="s">
        <v>24</v>
      </c>
      <c r="D1860" s="1" t="s">
        <v>3698</v>
      </c>
      <c r="E1860" s="1" t="s">
        <v>3699</v>
      </c>
      <c r="F1860" s="2">
        <v>482</v>
      </c>
      <c r="G1860" s="3">
        <v>41.5</v>
      </c>
      <c r="H1860" s="4" t="str">
        <f>IF(AND(A1860="Yes",C1860="School"),COUNTIFS($A$6:A1860,"Yes",$C$6:C1860,"School"),"")</f>
        <v/>
      </c>
    </row>
    <row r="1861" spans="1:8">
      <c r="A1861" s="13"/>
      <c r="B1861" s="1" t="s">
        <v>3700</v>
      </c>
      <c r="C1861" s="1" t="s">
        <v>24</v>
      </c>
      <c r="D1861" s="1" t="s">
        <v>3700</v>
      </c>
      <c r="E1861" s="1" t="s">
        <v>3701</v>
      </c>
      <c r="F1861" s="2">
        <v>849</v>
      </c>
      <c r="G1861" s="3">
        <v>33.6</v>
      </c>
      <c r="H1861" s="4" t="str">
        <f>IF(AND(A1861="Yes",C1861="School"),COUNTIFS($A$6:A1861,"Yes",$C$6:C1861,"School"),"")</f>
        <v/>
      </c>
    </row>
    <row r="1862" spans="1:8">
      <c r="A1862" s="13"/>
      <c r="B1862" s="1" t="s">
        <v>3702</v>
      </c>
      <c r="C1862" s="1" t="s">
        <v>40</v>
      </c>
      <c r="D1862" s="1" t="s">
        <v>41</v>
      </c>
      <c r="E1862" s="1" t="s">
        <v>3703</v>
      </c>
      <c r="F1862" s="2">
        <v>1091</v>
      </c>
      <c r="G1862" s="3">
        <v>54.4</v>
      </c>
      <c r="H1862" s="4" t="str">
        <f>IF(AND(A1862="Yes",C1862="School"),COUNTIFS($A$6:A1862,"Yes",$C$6:C1862,"School"),"")</f>
        <v/>
      </c>
    </row>
    <row r="1863" spans="1:8">
      <c r="A1863" s="13"/>
      <c r="B1863" s="1" t="s">
        <v>3702</v>
      </c>
      <c r="C1863" s="1" t="s">
        <v>24</v>
      </c>
      <c r="D1863" s="1" t="s">
        <v>3704</v>
      </c>
      <c r="E1863" s="1" t="s">
        <v>3705</v>
      </c>
      <c r="F1863" s="2">
        <v>148</v>
      </c>
      <c r="G1863" s="3">
        <v>58.1</v>
      </c>
      <c r="H1863" s="4" t="str">
        <f>IF(AND(A1863="Yes",C1863="School"),COUNTIFS($A$6:A1863,"Yes",$C$6:C1863,"School"),"")</f>
        <v/>
      </c>
    </row>
    <row r="1864" spans="1:8">
      <c r="A1864" s="13"/>
      <c r="B1864" s="1" t="s">
        <v>3702</v>
      </c>
      <c r="C1864" s="1" t="s">
        <v>24</v>
      </c>
      <c r="D1864" s="1" t="s">
        <v>3706</v>
      </c>
      <c r="E1864" s="1" t="s">
        <v>3707</v>
      </c>
      <c r="F1864" s="2">
        <v>358</v>
      </c>
      <c r="G1864" s="3">
        <v>43</v>
      </c>
      <c r="H1864" s="4" t="str">
        <f>IF(AND(A1864="Yes",C1864="School"),COUNTIFS($A$6:A1864,"Yes",$C$6:C1864,"School"),"")</f>
        <v/>
      </c>
    </row>
    <row r="1865" spans="1:8">
      <c r="A1865" s="13"/>
      <c r="B1865" s="1" t="s">
        <v>3702</v>
      </c>
      <c r="C1865" s="1" t="s">
        <v>24</v>
      </c>
      <c r="D1865" s="1" t="s">
        <v>3708</v>
      </c>
      <c r="E1865" s="1" t="s">
        <v>3709</v>
      </c>
      <c r="F1865" s="2">
        <v>236</v>
      </c>
      <c r="G1865" s="3">
        <v>55.1</v>
      </c>
      <c r="H1865" s="4" t="str">
        <f>IF(AND(A1865="Yes",C1865="School"),COUNTIFS($A$6:A1865,"Yes",$C$6:C1865,"School"),"")</f>
        <v/>
      </c>
    </row>
    <row r="1866" spans="1:8">
      <c r="A1866" s="13"/>
      <c r="B1866" s="1" t="s">
        <v>3702</v>
      </c>
      <c r="C1866" s="1" t="s">
        <v>24</v>
      </c>
      <c r="D1866" s="1" t="s">
        <v>3710</v>
      </c>
      <c r="E1866" s="1" t="s">
        <v>3711</v>
      </c>
      <c r="F1866" s="2">
        <v>349</v>
      </c>
      <c r="G1866" s="3">
        <v>64.2</v>
      </c>
      <c r="H1866" s="4" t="str">
        <f>IF(AND(A1866="Yes",C1866="School"),COUNTIFS($A$6:A1866,"Yes",$C$6:C1866,"School"),"")</f>
        <v/>
      </c>
    </row>
    <row r="1867" spans="1:8">
      <c r="A1867" s="13"/>
      <c r="B1867" s="1" t="s">
        <v>3712</v>
      </c>
      <c r="C1867" s="1" t="s">
        <v>24</v>
      </c>
      <c r="D1867" s="1" t="s">
        <v>3712</v>
      </c>
      <c r="E1867" s="1" t="s">
        <v>3713</v>
      </c>
      <c r="F1867" s="2">
        <v>270</v>
      </c>
      <c r="G1867" s="3">
        <v>72.599999999999994</v>
      </c>
      <c r="H1867" s="4" t="str">
        <f>IF(AND(A1867="Yes",C1867="School"),COUNTIFS($A$6:A1867,"Yes",$C$6:C1867,"School"),"")</f>
        <v/>
      </c>
    </row>
    <row r="1868" spans="1:8">
      <c r="A1868" s="13"/>
      <c r="B1868" s="1" t="s">
        <v>3714</v>
      </c>
      <c r="C1868" s="1" t="s">
        <v>24</v>
      </c>
      <c r="D1868" s="1" t="s">
        <v>3714</v>
      </c>
      <c r="E1868" s="1" t="s">
        <v>3715</v>
      </c>
      <c r="F1868" s="2">
        <v>739</v>
      </c>
      <c r="G1868" s="3">
        <v>21</v>
      </c>
      <c r="H1868" s="4" t="str">
        <f>IF(AND(A1868="Yes",C1868="School"),COUNTIFS($A$6:A1868,"Yes",$C$6:C1868,"School"),"")</f>
        <v/>
      </c>
    </row>
    <row r="1869" spans="1:8">
      <c r="A1869" s="13"/>
      <c r="B1869" s="1" t="s">
        <v>3716</v>
      </c>
      <c r="C1869" s="1" t="s">
        <v>40</v>
      </c>
      <c r="D1869" s="1" t="s">
        <v>41</v>
      </c>
      <c r="E1869" s="1" t="s">
        <v>3717</v>
      </c>
      <c r="F1869" s="2">
        <v>10911</v>
      </c>
      <c r="G1869" s="3">
        <v>40.4</v>
      </c>
      <c r="H1869" s="4" t="str">
        <f>IF(AND(A1869="Yes",C1869="School"),COUNTIFS($A$6:A1869,"Yes",$C$6:C1869,"School"),"")</f>
        <v/>
      </c>
    </row>
    <row r="1870" spans="1:8">
      <c r="A1870" s="13"/>
      <c r="B1870" s="1" t="s">
        <v>3716</v>
      </c>
      <c r="C1870" s="1" t="s">
        <v>24</v>
      </c>
      <c r="D1870" s="1" t="s">
        <v>3718</v>
      </c>
      <c r="E1870" s="1" t="s">
        <v>3719</v>
      </c>
      <c r="F1870" s="2">
        <v>236</v>
      </c>
      <c r="G1870" s="3">
        <v>68.599999999999994</v>
      </c>
      <c r="H1870" s="4" t="str">
        <f>IF(AND(A1870="Yes",C1870="School"),COUNTIFS($A$6:A1870,"Yes",$C$6:C1870,"School"),"")</f>
        <v/>
      </c>
    </row>
    <row r="1871" spans="1:8">
      <c r="A1871" s="13"/>
      <c r="B1871" s="1" t="s">
        <v>3716</v>
      </c>
      <c r="C1871" s="1" t="s">
        <v>24</v>
      </c>
      <c r="D1871" s="1" t="s">
        <v>3720</v>
      </c>
      <c r="E1871" s="1" t="s">
        <v>3721</v>
      </c>
      <c r="F1871" s="2">
        <v>470</v>
      </c>
      <c r="G1871" s="3">
        <v>74.900000000000006</v>
      </c>
      <c r="H1871" s="4" t="str">
        <f>IF(AND(A1871="Yes",C1871="School"),COUNTIFS($A$6:A1871,"Yes",$C$6:C1871,"School"),"")</f>
        <v/>
      </c>
    </row>
    <row r="1872" spans="1:8">
      <c r="A1872" s="13"/>
      <c r="B1872" s="1" t="s">
        <v>3716</v>
      </c>
      <c r="C1872" s="1" t="s">
        <v>24</v>
      </c>
      <c r="D1872" s="1" t="s">
        <v>3722</v>
      </c>
      <c r="E1872" s="1" t="s">
        <v>3723</v>
      </c>
      <c r="F1872" s="2">
        <v>539</v>
      </c>
      <c r="G1872" s="3">
        <v>62</v>
      </c>
      <c r="H1872" s="4" t="str">
        <f>IF(AND(A1872="Yes",C1872="School"),COUNTIFS($A$6:A1872,"Yes",$C$6:C1872,"School"),"")</f>
        <v/>
      </c>
    </row>
    <row r="1873" spans="1:8">
      <c r="A1873" s="13"/>
      <c r="B1873" s="1" t="s">
        <v>3716</v>
      </c>
      <c r="C1873" s="1" t="s">
        <v>24</v>
      </c>
      <c r="D1873" s="1" t="s">
        <v>3724</v>
      </c>
      <c r="E1873" s="1" t="s">
        <v>3725</v>
      </c>
      <c r="F1873" s="2">
        <v>414</v>
      </c>
      <c r="G1873" s="3">
        <v>60.9</v>
      </c>
      <c r="H1873" s="4" t="str">
        <f>IF(AND(A1873="Yes",C1873="School"),COUNTIFS($A$6:A1873,"Yes",$C$6:C1873,"School"),"")</f>
        <v/>
      </c>
    </row>
    <row r="1874" spans="1:8">
      <c r="A1874" s="13"/>
      <c r="B1874" s="1" t="s">
        <v>3716</v>
      </c>
      <c r="C1874" s="1" t="s">
        <v>24</v>
      </c>
      <c r="D1874" s="1" t="s">
        <v>3726</v>
      </c>
      <c r="E1874" s="1" t="s">
        <v>3727</v>
      </c>
      <c r="F1874" s="2">
        <v>684</v>
      </c>
      <c r="G1874" s="3">
        <v>59.2</v>
      </c>
      <c r="H1874" s="4" t="str">
        <f>IF(AND(A1874="Yes",C1874="School"),COUNTIFS($A$6:A1874,"Yes",$C$6:C1874,"School"),"")</f>
        <v/>
      </c>
    </row>
    <row r="1875" spans="1:8">
      <c r="A1875" s="13"/>
      <c r="B1875" s="1" t="s">
        <v>3716</v>
      </c>
      <c r="C1875" s="1" t="s">
        <v>24</v>
      </c>
      <c r="D1875" s="1" t="s">
        <v>3728</v>
      </c>
      <c r="E1875" s="1" t="s">
        <v>3729</v>
      </c>
      <c r="F1875" s="2">
        <v>479</v>
      </c>
      <c r="G1875" s="3">
        <v>77</v>
      </c>
      <c r="H1875" s="4" t="str">
        <f>IF(AND(A1875="Yes",C1875="School"),COUNTIFS($A$6:A1875,"Yes",$C$6:C1875,"School"),"")</f>
        <v/>
      </c>
    </row>
    <row r="1876" spans="1:8">
      <c r="A1876" s="13"/>
      <c r="B1876" s="1" t="s">
        <v>3716</v>
      </c>
      <c r="C1876" s="1" t="s">
        <v>24</v>
      </c>
      <c r="D1876" s="1" t="s">
        <v>3730</v>
      </c>
      <c r="E1876" s="1" t="s">
        <v>3731</v>
      </c>
      <c r="F1876" s="2">
        <v>550</v>
      </c>
      <c r="G1876" s="3">
        <v>17.8</v>
      </c>
      <c r="H1876" s="4" t="str">
        <f>IF(AND(A1876="Yes",C1876="School"),COUNTIFS($A$6:A1876,"Yes",$C$6:C1876,"School"),"")</f>
        <v/>
      </c>
    </row>
    <row r="1877" spans="1:8">
      <c r="A1877" s="13"/>
      <c r="B1877" s="1" t="s">
        <v>3716</v>
      </c>
      <c r="C1877" s="1" t="s">
        <v>24</v>
      </c>
      <c r="D1877" s="1" t="s">
        <v>3732</v>
      </c>
      <c r="E1877" s="1" t="s">
        <v>3733</v>
      </c>
      <c r="F1877" s="2">
        <v>208</v>
      </c>
      <c r="G1877" s="3">
        <v>32.200000000000003</v>
      </c>
      <c r="H1877" s="4" t="str">
        <f>IF(AND(A1877="Yes",C1877="School"),COUNTIFS($A$6:A1877,"Yes",$C$6:C1877,"School"),"")</f>
        <v/>
      </c>
    </row>
    <row r="1878" spans="1:8">
      <c r="A1878" s="13"/>
      <c r="B1878" s="1" t="s">
        <v>3716</v>
      </c>
      <c r="C1878" s="1" t="s">
        <v>24</v>
      </c>
      <c r="D1878" s="1" t="s">
        <v>3734</v>
      </c>
      <c r="E1878" s="1" t="s">
        <v>3735</v>
      </c>
      <c r="F1878" s="2">
        <v>576</v>
      </c>
      <c r="G1878" s="3">
        <v>64.400000000000006</v>
      </c>
      <c r="H1878" s="4" t="str">
        <f>IF(AND(A1878="Yes",C1878="School"),COUNTIFS($A$6:A1878,"Yes",$C$6:C1878,"School"),"")</f>
        <v/>
      </c>
    </row>
    <row r="1879" spans="1:8">
      <c r="A1879" s="13"/>
      <c r="B1879" s="1" t="s">
        <v>3716</v>
      </c>
      <c r="C1879" s="1" t="s">
        <v>24</v>
      </c>
      <c r="D1879" s="1" t="s">
        <v>3736</v>
      </c>
      <c r="E1879" s="1" t="s">
        <v>3737</v>
      </c>
      <c r="F1879" s="2">
        <v>42</v>
      </c>
      <c r="G1879" s="3">
        <v>76.2</v>
      </c>
      <c r="H1879" s="4" t="str">
        <f>IF(AND(A1879="Yes",C1879="School"),COUNTIFS($A$6:A1879,"Yes",$C$6:C1879,"School"),"")</f>
        <v/>
      </c>
    </row>
    <row r="1880" spans="1:8">
      <c r="A1880" s="13"/>
      <c r="B1880" s="1" t="s">
        <v>3716</v>
      </c>
      <c r="C1880" s="1" t="s">
        <v>24</v>
      </c>
      <c r="D1880" s="1" t="s">
        <v>3738</v>
      </c>
      <c r="E1880" s="1" t="s">
        <v>3739</v>
      </c>
      <c r="F1880" s="2">
        <v>492</v>
      </c>
      <c r="G1880" s="3">
        <v>67.5</v>
      </c>
      <c r="H1880" s="4" t="str">
        <f>IF(AND(A1880="Yes",C1880="School"),COUNTIFS($A$6:A1880,"Yes",$C$6:C1880,"School"),"")</f>
        <v/>
      </c>
    </row>
    <row r="1881" spans="1:8">
      <c r="A1881" s="13"/>
      <c r="B1881" s="1" t="s">
        <v>3716</v>
      </c>
      <c r="C1881" s="1" t="s">
        <v>24</v>
      </c>
      <c r="D1881" s="1" t="s">
        <v>3740</v>
      </c>
      <c r="E1881" s="1" t="s">
        <v>3741</v>
      </c>
      <c r="F1881" s="2">
        <v>402</v>
      </c>
      <c r="G1881" s="3">
        <v>64.900000000000006</v>
      </c>
      <c r="H1881" s="4" t="str">
        <f>IF(AND(A1881="Yes",C1881="School"),COUNTIFS($A$6:A1881,"Yes",$C$6:C1881,"School"),"")</f>
        <v/>
      </c>
    </row>
    <row r="1882" spans="1:8">
      <c r="A1882" s="13"/>
      <c r="B1882" s="1" t="s">
        <v>3716</v>
      </c>
      <c r="C1882" s="1" t="s">
        <v>24</v>
      </c>
      <c r="D1882" s="1" t="s">
        <v>3742</v>
      </c>
      <c r="E1882" s="1" t="s">
        <v>3743</v>
      </c>
      <c r="F1882" s="2">
        <v>644</v>
      </c>
      <c r="G1882" s="3">
        <v>27.5</v>
      </c>
      <c r="H1882" s="4" t="str">
        <f>IF(AND(A1882="Yes",C1882="School"),COUNTIFS($A$6:A1882,"Yes",$C$6:C1882,"School"),"")</f>
        <v/>
      </c>
    </row>
    <row r="1883" spans="1:8">
      <c r="A1883" s="13"/>
      <c r="B1883" s="1" t="s">
        <v>3716</v>
      </c>
      <c r="C1883" s="1" t="s">
        <v>24</v>
      </c>
      <c r="D1883" s="1" t="s">
        <v>3744</v>
      </c>
      <c r="E1883" s="1" t="s">
        <v>3745</v>
      </c>
      <c r="F1883" s="2">
        <v>868</v>
      </c>
      <c r="G1883" s="3">
        <v>28.6</v>
      </c>
      <c r="H1883" s="4" t="str">
        <f>IF(AND(A1883="Yes",C1883="School"),COUNTIFS($A$6:A1883,"Yes",$C$6:C1883,"School"),"")</f>
        <v/>
      </c>
    </row>
    <row r="1884" spans="1:8">
      <c r="A1884" s="13"/>
      <c r="B1884" s="1" t="s">
        <v>3716</v>
      </c>
      <c r="C1884" s="1" t="s">
        <v>24</v>
      </c>
      <c r="D1884" s="1" t="s">
        <v>3746</v>
      </c>
      <c r="E1884" s="1" t="s">
        <v>3747</v>
      </c>
      <c r="F1884" s="2">
        <v>792</v>
      </c>
      <c r="G1884" s="3">
        <v>23.2</v>
      </c>
      <c r="H1884" s="4" t="str">
        <f>IF(AND(A1884="Yes",C1884="School"),COUNTIFS($A$6:A1884,"Yes",$C$6:C1884,"School"),"")</f>
        <v/>
      </c>
    </row>
    <row r="1885" spans="1:8">
      <c r="A1885" s="13"/>
      <c r="B1885" s="1" t="s">
        <v>3716</v>
      </c>
      <c r="C1885" s="1" t="s">
        <v>24</v>
      </c>
      <c r="D1885" s="1" t="s">
        <v>3748</v>
      </c>
      <c r="E1885" s="1" t="s">
        <v>3749</v>
      </c>
      <c r="F1885" s="2">
        <v>571</v>
      </c>
      <c r="G1885" s="3">
        <v>20.100000000000001</v>
      </c>
      <c r="H1885" s="4" t="str">
        <f>IF(AND(A1885="Yes",C1885="School"),COUNTIFS($A$6:A1885,"Yes",$C$6:C1885,"School"),"")</f>
        <v/>
      </c>
    </row>
    <row r="1886" spans="1:8">
      <c r="A1886" s="13"/>
      <c r="B1886" s="1" t="s">
        <v>3716</v>
      </c>
      <c r="C1886" s="1" t="s">
        <v>24</v>
      </c>
      <c r="D1886" s="1" t="s">
        <v>3750</v>
      </c>
      <c r="E1886" s="1" t="s">
        <v>3751</v>
      </c>
      <c r="F1886" s="2">
        <v>1889</v>
      </c>
      <c r="G1886" s="3">
        <v>18.3</v>
      </c>
      <c r="H1886" s="4" t="str">
        <f>IF(AND(A1886="Yes",C1886="School"),COUNTIFS($A$6:A1886,"Yes",$C$6:C1886,"School"),"")</f>
        <v/>
      </c>
    </row>
    <row r="1887" spans="1:8">
      <c r="A1887" s="13"/>
      <c r="B1887" s="1" t="s">
        <v>3716</v>
      </c>
      <c r="C1887" s="1" t="s">
        <v>24</v>
      </c>
      <c r="D1887" s="1" t="s">
        <v>3752</v>
      </c>
      <c r="E1887" s="1" t="s">
        <v>3753</v>
      </c>
      <c r="F1887" s="2">
        <v>854</v>
      </c>
      <c r="G1887" s="3">
        <v>18.7</v>
      </c>
      <c r="H1887" s="4" t="str">
        <f>IF(AND(A1887="Yes",C1887="School"),COUNTIFS($A$6:A1887,"Yes",$C$6:C1887,"School"),"")</f>
        <v/>
      </c>
    </row>
    <row r="1888" spans="1:8">
      <c r="A1888" s="13"/>
      <c r="B1888" s="1" t="s">
        <v>3716</v>
      </c>
      <c r="C1888" s="1" t="s">
        <v>24</v>
      </c>
      <c r="D1888" s="1" t="s">
        <v>3754</v>
      </c>
      <c r="E1888" s="1" t="s">
        <v>3755</v>
      </c>
      <c r="F1888" s="2">
        <v>201</v>
      </c>
      <c r="G1888" s="3">
        <v>73.099999999999994</v>
      </c>
      <c r="H1888" s="4" t="str">
        <f>IF(AND(A1888="Yes",C1888="School"),COUNTIFS($A$6:A1888,"Yes",$C$6:C1888,"School"),"")</f>
        <v/>
      </c>
    </row>
    <row r="1889" spans="1:8">
      <c r="A1889" s="13"/>
      <c r="B1889" s="1" t="s">
        <v>3756</v>
      </c>
      <c r="C1889" s="1" t="s">
        <v>40</v>
      </c>
      <c r="D1889" s="1" t="s">
        <v>41</v>
      </c>
      <c r="E1889" s="1" t="s">
        <v>3757</v>
      </c>
      <c r="F1889" s="2">
        <v>1664</v>
      </c>
      <c r="G1889" s="3">
        <v>47.1</v>
      </c>
      <c r="H1889" s="4" t="str">
        <f>IF(AND(A1889="Yes",C1889="School"),COUNTIFS($A$6:A1889,"Yes",$C$6:C1889,"School"),"")</f>
        <v/>
      </c>
    </row>
    <row r="1890" spans="1:8">
      <c r="A1890" s="13"/>
      <c r="B1890" s="1" t="s">
        <v>3756</v>
      </c>
      <c r="C1890" s="1" t="s">
        <v>24</v>
      </c>
      <c r="D1890" s="1" t="s">
        <v>3758</v>
      </c>
      <c r="E1890" s="1" t="s">
        <v>3759</v>
      </c>
      <c r="F1890" s="2">
        <v>403</v>
      </c>
      <c r="G1890" s="3">
        <v>48.1</v>
      </c>
      <c r="H1890" s="4" t="str">
        <f>IF(AND(A1890="Yes",C1890="School"),COUNTIFS($A$6:A1890,"Yes",$C$6:C1890,"School"),"")</f>
        <v/>
      </c>
    </row>
    <row r="1891" spans="1:8">
      <c r="A1891" s="13"/>
      <c r="B1891" s="1" t="s">
        <v>3756</v>
      </c>
      <c r="C1891" s="1" t="s">
        <v>24</v>
      </c>
      <c r="D1891" s="1" t="s">
        <v>3760</v>
      </c>
      <c r="E1891" s="1" t="s">
        <v>3761</v>
      </c>
      <c r="F1891" s="2">
        <v>409</v>
      </c>
      <c r="G1891" s="3">
        <v>54.3</v>
      </c>
      <c r="H1891" s="4" t="str">
        <f>IF(AND(A1891="Yes",C1891="School"),COUNTIFS($A$6:A1891,"Yes",$C$6:C1891,"School"),"")</f>
        <v/>
      </c>
    </row>
    <row r="1892" spans="1:8">
      <c r="A1892" s="13"/>
      <c r="B1892" s="1" t="s">
        <v>3756</v>
      </c>
      <c r="C1892" s="1" t="s">
        <v>24</v>
      </c>
      <c r="D1892" s="1" t="s">
        <v>3762</v>
      </c>
      <c r="E1892" s="1" t="s">
        <v>3763</v>
      </c>
      <c r="F1892" s="2">
        <v>458</v>
      </c>
      <c r="G1892" s="3">
        <v>38.9</v>
      </c>
      <c r="H1892" s="4" t="str">
        <f>IF(AND(A1892="Yes",C1892="School"),COUNTIFS($A$6:A1892,"Yes",$C$6:C1892,"School"),"")</f>
        <v/>
      </c>
    </row>
    <row r="1893" spans="1:8">
      <c r="A1893" s="13"/>
      <c r="B1893" s="1" t="s">
        <v>3756</v>
      </c>
      <c r="C1893" s="1" t="s">
        <v>24</v>
      </c>
      <c r="D1893" s="1" t="s">
        <v>3764</v>
      </c>
      <c r="E1893" s="1" t="s">
        <v>3765</v>
      </c>
      <c r="F1893" s="2">
        <v>394</v>
      </c>
      <c r="G1893" s="3">
        <v>48.2</v>
      </c>
      <c r="H1893" s="4" t="str">
        <f>IF(AND(A1893="Yes",C1893="School"),COUNTIFS($A$6:A1893,"Yes",$C$6:C1893,"School"),"")</f>
        <v/>
      </c>
    </row>
    <row r="1894" spans="1:8">
      <c r="A1894" s="13"/>
      <c r="B1894" s="1" t="s">
        <v>3766</v>
      </c>
      <c r="C1894" s="1" t="s">
        <v>40</v>
      </c>
      <c r="D1894" s="1" t="s">
        <v>41</v>
      </c>
      <c r="E1894" s="1" t="s">
        <v>3767</v>
      </c>
      <c r="F1894" s="2">
        <v>4276</v>
      </c>
      <c r="G1894" s="3">
        <v>57</v>
      </c>
      <c r="H1894" s="4" t="str">
        <f>IF(AND(A1894="Yes",C1894="School"),COUNTIFS($A$6:A1894,"Yes",$C$6:C1894,"School"),"")</f>
        <v/>
      </c>
    </row>
    <row r="1895" spans="1:8">
      <c r="A1895" s="13"/>
      <c r="B1895" s="1" t="s">
        <v>3766</v>
      </c>
      <c r="C1895" s="1" t="s">
        <v>24</v>
      </c>
      <c r="D1895" s="1" t="s">
        <v>3768</v>
      </c>
      <c r="E1895" s="1" t="s">
        <v>3769</v>
      </c>
      <c r="F1895" s="2">
        <v>528</v>
      </c>
      <c r="G1895" s="3">
        <v>44.9</v>
      </c>
      <c r="H1895" s="4" t="str">
        <f>IF(AND(A1895="Yes",C1895="School"),COUNTIFS($A$6:A1895,"Yes",$C$6:C1895,"School"),"")</f>
        <v/>
      </c>
    </row>
    <row r="1896" spans="1:8">
      <c r="A1896" s="13"/>
      <c r="B1896" s="1" t="s">
        <v>3766</v>
      </c>
      <c r="C1896" s="1" t="s">
        <v>24</v>
      </c>
      <c r="D1896" s="1" t="s">
        <v>3770</v>
      </c>
      <c r="E1896" s="1" t="s">
        <v>3771</v>
      </c>
      <c r="F1896" s="2">
        <v>266</v>
      </c>
      <c r="G1896" s="3">
        <v>77.8</v>
      </c>
      <c r="H1896" s="4" t="str">
        <f>IF(AND(A1896="Yes",C1896="School"),COUNTIFS($A$6:A1896,"Yes",$C$6:C1896,"School"),"")</f>
        <v/>
      </c>
    </row>
    <row r="1897" spans="1:8">
      <c r="A1897" s="13"/>
      <c r="B1897" s="1" t="s">
        <v>3766</v>
      </c>
      <c r="C1897" s="1" t="s">
        <v>24</v>
      </c>
      <c r="D1897" s="1" t="s">
        <v>3772</v>
      </c>
      <c r="E1897" s="1" t="s">
        <v>3773</v>
      </c>
      <c r="F1897" s="2">
        <v>452</v>
      </c>
      <c r="G1897" s="3">
        <v>64.8</v>
      </c>
      <c r="H1897" s="4" t="str">
        <f>IF(AND(A1897="Yes",C1897="School"),COUNTIFS($A$6:A1897,"Yes",$C$6:C1897,"School"),"")</f>
        <v/>
      </c>
    </row>
    <row r="1898" spans="1:8">
      <c r="A1898" s="13"/>
      <c r="B1898" s="1" t="s">
        <v>3766</v>
      </c>
      <c r="C1898" s="1" t="s">
        <v>24</v>
      </c>
      <c r="D1898" s="1" t="s">
        <v>3774</v>
      </c>
      <c r="E1898" s="1" t="s">
        <v>3775</v>
      </c>
      <c r="F1898" s="2">
        <v>221</v>
      </c>
      <c r="G1898" s="3">
        <v>43</v>
      </c>
      <c r="H1898" s="4" t="str">
        <f>IF(AND(A1898="Yes",C1898="School"),COUNTIFS($A$6:A1898,"Yes",$C$6:C1898,"School"),"")</f>
        <v/>
      </c>
    </row>
    <row r="1899" spans="1:8">
      <c r="A1899" s="13"/>
      <c r="B1899" s="1" t="s">
        <v>3766</v>
      </c>
      <c r="C1899" s="1" t="s">
        <v>24</v>
      </c>
      <c r="D1899" s="1" t="s">
        <v>3776</v>
      </c>
      <c r="E1899" s="1" t="s">
        <v>3777</v>
      </c>
      <c r="F1899" s="2">
        <v>52</v>
      </c>
      <c r="G1899" s="3">
        <v>46.2</v>
      </c>
      <c r="H1899" s="4" t="str">
        <f>IF(AND(A1899="Yes",C1899="School"),COUNTIFS($A$6:A1899,"Yes",$C$6:C1899,"School"),"")</f>
        <v/>
      </c>
    </row>
    <row r="1900" spans="1:8">
      <c r="A1900" s="13"/>
      <c r="B1900" s="1" t="s">
        <v>3766</v>
      </c>
      <c r="C1900" s="1" t="s">
        <v>24</v>
      </c>
      <c r="D1900" s="1" t="s">
        <v>3778</v>
      </c>
      <c r="E1900" s="1" t="s">
        <v>3779</v>
      </c>
      <c r="F1900" s="2">
        <v>128</v>
      </c>
      <c r="G1900" s="3">
        <v>46.9</v>
      </c>
      <c r="H1900" s="4" t="str">
        <f>IF(AND(A1900="Yes",C1900="School"),COUNTIFS($A$6:A1900,"Yes",$C$6:C1900,"School"),"")</f>
        <v/>
      </c>
    </row>
    <row r="1901" spans="1:8">
      <c r="A1901" s="13"/>
      <c r="B1901" s="1" t="s">
        <v>3766</v>
      </c>
      <c r="C1901" s="1" t="s">
        <v>24</v>
      </c>
      <c r="D1901" s="1" t="s">
        <v>3780</v>
      </c>
      <c r="E1901" s="1" t="s">
        <v>3781</v>
      </c>
      <c r="F1901" s="2">
        <v>1087</v>
      </c>
      <c r="G1901" s="3">
        <v>54.8</v>
      </c>
      <c r="H1901" s="4" t="str">
        <f>IF(AND(A1901="Yes",C1901="School"),COUNTIFS($A$6:A1901,"Yes",$C$6:C1901,"School"),"")</f>
        <v/>
      </c>
    </row>
    <row r="1902" spans="1:8">
      <c r="A1902" s="13"/>
      <c r="B1902" s="1" t="s">
        <v>3766</v>
      </c>
      <c r="C1902" s="1" t="s">
        <v>24</v>
      </c>
      <c r="D1902" s="1" t="s">
        <v>749</v>
      </c>
      <c r="E1902" s="1" t="s">
        <v>3782</v>
      </c>
      <c r="F1902" s="2">
        <v>407</v>
      </c>
      <c r="G1902" s="3">
        <v>68.099999999999994</v>
      </c>
      <c r="H1902" s="4" t="str">
        <f>IF(AND(A1902="Yes",C1902="School"),COUNTIFS($A$6:A1902,"Yes",$C$6:C1902,"School"),"")</f>
        <v/>
      </c>
    </row>
    <row r="1903" spans="1:8">
      <c r="A1903" s="13"/>
      <c r="B1903" s="1" t="s">
        <v>3766</v>
      </c>
      <c r="C1903" s="1" t="s">
        <v>24</v>
      </c>
      <c r="D1903" s="1" t="s">
        <v>3346</v>
      </c>
      <c r="E1903" s="1" t="s">
        <v>3783</v>
      </c>
      <c r="F1903" s="2">
        <v>491</v>
      </c>
      <c r="G1903" s="3">
        <v>56.2</v>
      </c>
      <c r="H1903" s="4" t="str">
        <f>IF(AND(A1903="Yes",C1903="School"),COUNTIFS($A$6:A1903,"Yes",$C$6:C1903,"School"),"")</f>
        <v/>
      </c>
    </row>
    <row r="1904" spans="1:8">
      <c r="A1904" s="13"/>
      <c r="B1904" s="1" t="s">
        <v>3766</v>
      </c>
      <c r="C1904" s="1" t="s">
        <v>24</v>
      </c>
      <c r="D1904" s="1" t="s">
        <v>3784</v>
      </c>
      <c r="E1904" s="1" t="s">
        <v>3785</v>
      </c>
      <c r="F1904" s="2">
        <v>433</v>
      </c>
      <c r="G1904" s="3">
        <v>62.4</v>
      </c>
      <c r="H1904" s="4" t="str">
        <f>IF(AND(A1904="Yes",C1904="School"),COUNTIFS($A$6:A1904,"Yes",$C$6:C1904,"School"),"")</f>
        <v/>
      </c>
    </row>
    <row r="1905" spans="1:8">
      <c r="A1905" s="13"/>
      <c r="B1905" s="1" t="s">
        <v>3766</v>
      </c>
      <c r="C1905" s="1" t="s">
        <v>24</v>
      </c>
      <c r="D1905" s="1" t="s">
        <v>3786</v>
      </c>
      <c r="E1905" s="1" t="s">
        <v>3787</v>
      </c>
      <c r="F1905" s="2">
        <v>211</v>
      </c>
      <c r="G1905" s="3">
        <v>49.3</v>
      </c>
      <c r="H1905" s="4" t="str">
        <f>IF(AND(A1905="Yes",C1905="School"),COUNTIFS($A$6:A1905,"Yes",$C$6:C1905,"School"),"")</f>
        <v/>
      </c>
    </row>
    <row r="1906" spans="1:8">
      <c r="A1906" s="13"/>
      <c r="B1906" s="1" t="s">
        <v>3788</v>
      </c>
      <c r="C1906" s="1" t="s">
        <v>24</v>
      </c>
      <c r="D1906" s="1" t="s">
        <v>3788</v>
      </c>
      <c r="E1906" s="1" t="s">
        <v>3789</v>
      </c>
      <c r="F1906" s="2">
        <v>1484</v>
      </c>
      <c r="G1906" s="3">
        <v>43.6</v>
      </c>
      <c r="H1906" s="4" t="str">
        <f>IF(AND(A1906="Yes",C1906="School"),COUNTIFS($A$6:A1906,"Yes",$C$6:C1906,"School"),"")</f>
        <v/>
      </c>
    </row>
    <row r="1907" spans="1:8">
      <c r="A1907" s="13"/>
      <c r="B1907" s="1" t="s">
        <v>3790</v>
      </c>
      <c r="C1907" s="1" t="s">
        <v>24</v>
      </c>
      <c r="D1907" s="1" t="s">
        <v>3790</v>
      </c>
      <c r="E1907" s="1" t="s">
        <v>3791</v>
      </c>
      <c r="F1907" s="2">
        <v>411</v>
      </c>
      <c r="G1907" s="3">
        <v>61.3</v>
      </c>
      <c r="H1907" s="4" t="str">
        <f>IF(AND(A1907="Yes",C1907="School"),COUNTIFS($A$6:A1907,"Yes",$C$6:C1907,"School"),"")</f>
        <v/>
      </c>
    </row>
    <row r="1908" spans="1:8">
      <c r="A1908" s="13"/>
      <c r="B1908" s="1" t="s">
        <v>3792</v>
      </c>
      <c r="C1908" s="1" t="s">
        <v>24</v>
      </c>
      <c r="D1908" s="1" t="s">
        <v>3792</v>
      </c>
      <c r="E1908" s="1" t="s">
        <v>3793</v>
      </c>
      <c r="F1908" s="2">
        <v>1934</v>
      </c>
      <c r="G1908" s="3">
        <v>37</v>
      </c>
      <c r="H1908" s="4" t="str">
        <f>IF(AND(A1908="Yes",C1908="School"),COUNTIFS($A$6:A1908,"Yes",$C$6:C1908,"School"),"")</f>
        <v/>
      </c>
    </row>
    <row r="1909" spans="1:8">
      <c r="A1909" s="13"/>
      <c r="B1909" s="1" t="s">
        <v>3794</v>
      </c>
      <c r="C1909" s="1" t="s">
        <v>24</v>
      </c>
      <c r="D1909" s="1" t="s">
        <v>3794</v>
      </c>
      <c r="E1909" s="1" t="s">
        <v>3795</v>
      </c>
      <c r="F1909" s="2">
        <v>1875</v>
      </c>
      <c r="G1909" s="3">
        <v>6.7</v>
      </c>
      <c r="H1909" s="4" t="str">
        <f>IF(AND(A1909="Yes",C1909="School"),COUNTIFS($A$6:A1909,"Yes",$C$6:C1909,"School"),"")</f>
        <v/>
      </c>
    </row>
    <row r="1910" spans="1:8">
      <c r="A1910" s="13"/>
      <c r="B1910" s="1" t="s">
        <v>3796</v>
      </c>
      <c r="C1910" s="1" t="s">
        <v>24</v>
      </c>
      <c r="D1910" s="1" t="s">
        <v>3796</v>
      </c>
      <c r="E1910" s="1" t="s">
        <v>3797</v>
      </c>
      <c r="F1910" s="2">
        <v>1257</v>
      </c>
      <c r="G1910" s="3">
        <v>7.8</v>
      </c>
      <c r="H1910" s="4" t="str">
        <f>IF(AND(A1910="Yes",C1910="School"),COUNTIFS($A$6:A1910,"Yes",$C$6:C1910,"School"),"")</f>
        <v/>
      </c>
    </row>
    <row r="1911" spans="1:8">
      <c r="A1911" s="13"/>
      <c r="B1911" s="1" t="s">
        <v>3796</v>
      </c>
      <c r="C1911" s="1" t="s">
        <v>24</v>
      </c>
      <c r="D1911" s="1" t="s">
        <v>3798</v>
      </c>
      <c r="E1911" s="1" t="s">
        <v>3799</v>
      </c>
      <c r="F1911" s="2">
        <v>3507</v>
      </c>
      <c r="G1911" s="3">
        <v>63.2</v>
      </c>
      <c r="H1911" s="4" t="str">
        <f>IF(AND(A1911="Yes",C1911="School"),COUNTIFS($A$6:A1911,"Yes",$C$6:C1911,"School"),"")</f>
        <v/>
      </c>
    </row>
    <row r="1912" spans="1:8">
      <c r="A1912" s="13"/>
      <c r="B1912" s="1" t="s">
        <v>3800</v>
      </c>
      <c r="C1912" s="1" t="s">
        <v>24</v>
      </c>
      <c r="D1912" s="1" t="s">
        <v>3800</v>
      </c>
      <c r="E1912" s="1" t="s">
        <v>3801</v>
      </c>
      <c r="F1912" s="2">
        <v>1155</v>
      </c>
      <c r="G1912" s="3">
        <v>39.700000000000003</v>
      </c>
      <c r="H1912" s="4" t="str">
        <f>IF(AND(A1912="Yes",C1912="School"),COUNTIFS($A$6:A1912,"Yes",$C$6:C1912,"School"),"")</f>
        <v/>
      </c>
    </row>
    <row r="1913" spans="1:8">
      <c r="A1913" s="13"/>
      <c r="B1913" s="1" t="s">
        <v>3802</v>
      </c>
      <c r="C1913" s="1" t="s">
        <v>24</v>
      </c>
      <c r="D1913" s="1" t="s">
        <v>3802</v>
      </c>
      <c r="E1913" s="1" t="s">
        <v>3803</v>
      </c>
      <c r="F1913" s="2">
        <v>527</v>
      </c>
      <c r="G1913" s="3">
        <v>34.200000000000003</v>
      </c>
      <c r="H1913" s="4" t="str">
        <f>IF(AND(A1913="Yes",C1913="School"),COUNTIFS($A$6:A1913,"Yes",$C$6:C1913,"School"),"")</f>
        <v/>
      </c>
    </row>
    <row r="1914" spans="1:8">
      <c r="A1914" s="13"/>
      <c r="B1914" s="1" t="s">
        <v>3804</v>
      </c>
      <c r="C1914" s="1" t="s">
        <v>40</v>
      </c>
      <c r="D1914" s="1" t="s">
        <v>41</v>
      </c>
      <c r="E1914" s="1" t="s">
        <v>3805</v>
      </c>
      <c r="F1914" s="2">
        <v>24078</v>
      </c>
      <c r="G1914" s="3">
        <v>53.8</v>
      </c>
      <c r="H1914" s="4" t="str">
        <f>IF(AND(A1914="Yes",C1914="School"),COUNTIFS($A$6:A1914,"Yes",$C$6:C1914,"School"),"")</f>
        <v/>
      </c>
    </row>
    <row r="1915" spans="1:8">
      <c r="A1915" s="13"/>
      <c r="B1915" s="1" t="s">
        <v>3804</v>
      </c>
      <c r="C1915" s="1" t="s">
        <v>24</v>
      </c>
      <c r="D1915" s="1" t="s">
        <v>3806</v>
      </c>
      <c r="E1915" s="1" t="s">
        <v>3807</v>
      </c>
      <c r="F1915" s="2">
        <v>807</v>
      </c>
      <c r="G1915" s="3">
        <v>45.8</v>
      </c>
      <c r="H1915" s="4" t="str">
        <f>IF(AND(A1915="Yes",C1915="School"),COUNTIFS($A$6:A1915,"Yes",$C$6:C1915,"School"),"")</f>
        <v/>
      </c>
    </row>
    <row r="1916" spans="1:8">
      <c r="A1916" s="13"/>
      <c r="B1916" s="1" t="s">
        <v>3804</v>
      </c>
      <c r="C1916" s="1" t="s">
        <v>24</v>
      </c>
      <c r="D1916" s="1" t="s">
        <v>3808</v>
      </c>
      <c r="E1916" s="1" t="s">
        <v>3809</v>
      </c>
      <c r="F1916" s="2">
        <v>669</v>
      </c>
      <c r="G1916" s="3">
        <v>63.2</v>
      </c>
      <c r="H1916" s="4" t="str">
        <f>IF(AND(A1916="Yes",C1916="School"),COUNTIFS($A$6:A1916,"Yes",$C$6:C1916,"School"),"")</f>
        <v/>
      </c>
    </row>
    <row r="1917" spans="1:8">
      <c r="A1917" s="13"/>
      <c r="B1917" s="1" t="s">
        <v>3804</v>
      </c>
      <c r="C1917" s="1" t="s">
        <v>24</v>
      </c>
      <c r="D1917" s="1" t="s">
        <v>3810</v>
      </c>
      <c r="E1917" s="1" t="s">
        <v>3811</v>
      </c>
      <c r="F1917" s="2">
        <v>327</v>
      </c>
      <c r="G1917" s="3">
        <v>58.4</v>
      </c>
      <c r="H1917" s="4" t="str">
        <f>IF(AND(A1917="Yes",C1917="School"),COUNTIFS($A$6:A1917,"Yes",$C$6:C1917,"School"),"")</f>
        <v/>
      </c>
    </row>
    <row r="1918" spans="1:8">
      <c r="A1918" s="13"/>
      <c r="B1918" s="1" t="s">
        <v>3804</v>
      </c>
      <c r="C1918" s="1" t="s">
        <v>24</v>
      </c>
      <c r="D1918" s="1" t="s">
        <v>3812</v>
      </c>
      <c r="E1918" s="1" t="s">
        <v>3813</v>
      </c>
      <c r="F1918" s="2">
        <v>746</v>
      </c>
      <c r="G1918" s="3">
        <v>49.2</v>
      </c>
      <c r="H1918" s="4" t="str">
        <f>IF(AND(A1918="Yes",C1918="School"),COUNTIFS($A$6:A1918,"Yes",$C$6:C1918,"School"),"")</f>
        <v/>
      </c>
    </row>
    <row r="1919" spans="1:8">
      <c r="A1919" s="13"/>
      <c r="B1919" s="1" t="s">
        <v>3804</v>
      </c>
      <c r="C1919" s="1" t="s">
        <v>24</v>
      </c>
      <c r="D1919" s="1" t="s">
        <v>3814</v>
      </c>
      <c r="E1919" s="1" t="s">
        <v>3815</v>
      </c>
      <c r="F1919" s="2">
        <v>441</v>
      </c>
      <c r="G1919" s="3">
        <v>75.099999999999994</v>
      </c>
      <c r="H1919" s="4" t="str">
        <f>IF(AND(A1919="Yes",C1919="School"),COUNTIFS($A$6:A1919,"Yes",$C$6:C1919,"School"),"")</f>
        <v/>
      </c>
    </row>
    <row r="1920" spans="1:8">
      <c r="A1920" s="13"/>
      <c r="B1920" s="1" t="s">
        <v>3804</v>
      </c>
      <c r="C1920" s="1" t="s">
        <v>24</v>
      </c>
      <c r="D1920" s="1" t="s">
        <v>537</v>
      </c>
      <c r="E1920" s="1" t="s">
        <v>3816</v>
      </c>
      <c r="F1920" s="2">
        <v>221</v>
      </c>
      <c r="G1920" s="3">
        <v>70.599999999999994</v>
      </c>
      <c r="H1920" s="4" t="str">
        <f>IF(AND(A1920="Yes",C1920="School"),COUNTIFS($A$6:A1920,"Yes",$C$6:C1920,"School"),"")</f>
        <v/>
      </c>
    </row>
    <row r="1921" spans="1:8">
      <c r="A1921" s="13"/>
      <c r="B1921" s="1" t="s">
        <v>3804</v>
      </c>
      <c r="C1921" s="1" t="s">
        <v>24</v>
      </c>
      <c r="D1921" s="1" t="s">
        <v>3817</v>
      </c>
      <c r="E1921" s="1" t="s">
        <v>3818</v>
      </c>
      <c r="F1921" s="2">
        <v>681</v>
      </c>
      <c r="G1921" s="3">
        <v>60.6</v>
      </c>
      <c r="H1921" s="4" t="str">
        <f>IF(AND(A1921="Yes",C1921="School"),COUNTIFS($A$6:A1921,"Yes",$C$6:C1921,"School"),"")</f>
        <v/>
      </c>
    </row>
    <row r="1922" spans="1:8">
      <c r="A1922" s="13"/>
      <c r="B1922" s="1" t="s">
        <v>3804</v>
      </c>
      <c r="C1922" s="1" t="s">
        <v>24</v>
      </c>
      <c r="D1922" s="1" t="s">
        <v>3819</v>
      </c>
      <c r="E1922" s="1" t="s">
        <v>3820</v>
      </c>
      <c r="F1922" s="2">
        <v>888</v>
      </c>
      <c r="G1922" s="3">
        <v>32.4</v>
      </c>
      <c r="H1922" s="4" t="str">
        <f>IF(AND(A1922="Yes",C1922="School"),COUNTIFS($A$6:A1922,"Yes",$C$6:C1922,"School"),"")</f>
        <v/>
      </c>
    </row>
    <row r="1923" spans="1:8">
      <c r="A1923" s="13"/>
      <c r="B1923" s="1" t="s">
        <v>3804</v>
      </c>
      <c r="C1923" s="1" t="s">
        <v>24</v>
      </c>
      <c r="D1923" s="1" t="s">
        <v>1454</v>
      </c>
      <c r="E1923" s="1" t="s">
        <v>3821</v>
      </c>
      <c r="F1923" s="2">
        <v>590</v>
      </c>
      <c r="G1923" s="3">
        <v>64.900000000000006</v>
      </c>
      <c r="H1923" s="4" t="str">
        <f>IF(AND(A1923="Yes",C1923="School"),COUNTIFS($A$6:A1923,"Yes",$C$6:C1923,"School"),"")</f>
        <v/>
      </c>
    </row>
    <row r="1924" spans="1:8">
      <c r="A1924" s="13"/>
      <c r="B1924" s="1" t="s">
        <v>3804</v>
      </c>
      <c r="C1924" s="1" t="s">
        <v>24</v>
      </c>
      <c r="D1924" s="1" t="s">
        <v>3822</v>
      </c>
      <c r="E1924" s="1" t="s">
        <v>3823</v>
      </c>
      <c r="F1924" s="2">
        <v>1713</v>
      </c>
      <c r="G1924" s="3">
        <v>32.6</v>
      </c>
      <c r="H1924" s="4" t="str">
        <f>IF(AND(A1924="Yes",C1924="School"),COUNTIFS($A$6:A1924,"Yes",$C$6:C1924,"School"),"")</f>
        <v/>
      </c>
    </row>
    <row r="1925" spans="1:8">
      <c r="A1925" s="13"/>
      <c r="B1925" s="1" t="s">
        <v>3804</v>
      </c>
      <c r="C1925" s="1" t="s">
        <v>24</v>
      </c>
      <c r="D1925" s="1" t="s">
        <v>3824</v>
      </c>
      <c r="E1925" s="1" t="s">
        <v>3825</v>
      </c>
      <c r="F1925" s="2">
        <v>644</v>
      </c>
      <c r="G1925" s="3">
        <v>67.900000000000006</v>
      </c>
      <c r="H1925" s="4" t="str">
        <f>IF(AND(A1925="Yes",C1925="School"),COUNTIFS($A$6:A1925,"Yes",$C$6:C1925,"School"),"")</f>
        <v/>
      </c>
    </row>
    <row r="1926" spans="1:8">
      <c r="A1926" s="13"/>
      <c r="B1926" s="1" t="s">
        <v>3804</v>
      </c>
      <c r="C1926" s="1" t="s">
        <v>24</v>
      </c>
      <c r="D1926" s="1" t="s">
        <v>279</v>
      </c>
      <c r="E1926" s="1" t="s">
        <v>3826</v>
      </c>
      <c r="F1926" s="2">
        <v>833</v>
      </c>
      <c r="G1926" s="3">
        <v>60.3</v>
      </c>
      <c r="H1926" s="4" t="str">
        <f>IF(AND(A1926="Yes",C1926="School"),COUNTIFS($A$6:A1926,"Yes",$C$6:C1926,"School"),"")</f>
        <v/>
      </c>
    </row>
    <row r="1927" spans="1:8">
      <c r="A1927" s="13"/>
      <c r="B1927" s="1" t="s">
        <v>3804</v>
      </c>
      <c r="C1927" s="1" t="s">
        <v>24</v>
      </c>
      <c r="D1927" s="1" t="s">
        <v>3827</v>
      </c>
      <c r="E1927" s="1" t="s">
        <v>3828</v>
      </c>
      <c r="F1927" s="2">
        <v>481</v>
      </c>
      <c r="G1927" s="3">
        <v>51.4</v>
      </c>
      <c r="H1927" s="4" t="str">
        <f>IF(AND(A1927="Yes",C1927="School"),COUNTIFS($A$6:A1927,"Yes",$C$6:C1927,"School"),"")</f>
        <v/>
      </c>
    </row>
    <row r="1928" spans="1:8">
      <c r="A1928" s="13"/>
      <c r="B1928" s="1" t="s">
        <v>3804</v>
      </c>
      <c r="C1928" s="1" t="s">
        <v>24</v>
      </c>
      <c r="D1928" s="1" t="s">
        <v>3829</v>
      </c>
      <c r="E1928" s="1" t="s">
        <v>3830</v>
      </c>
      <c r="F1928" s="2">
        <v>291</v>
      </c>
      <c r="G1928" s="3">
        <v>79.400000000000006</v>
      </c>
      <c r="H1928" s="4" t="str">
        <f>IF(AND(A1928="Yes",C1928="School"),COUNTIFS($A$6:A1928,"Yes",$C$6:C1928,"School"),"")</f>
        <v/>
      </c>
    </row>
    <row r="1929" spans="1:8">
      <c r="A1929" s="13"/>
      <c r="B1929" s="1" t="s">
        <v>3804</v>
      </c>
      <c r="C1929" s="1" t="s">
        <v>24</v>
      </c>
      <c r="D1929" s="1" t="s">
        <v>3831</v>
      </c>
      <c r="E1929" s="1" t="s">
        <v>3832</v>
      </c>
      <c r="F1929" s="2">
        <v>709</v>
      </c>
      <c r="G1929" s="3">
        <v>60.9</v>
      </c>
      <c r="H1929" s="4" t="str">
        <f>IF(AND(A1929="Yes",C1929="School"),COUNTIFS($A$6:A1929,"Yes",$C$6:C1929,"School"),"")</f>
        <v/>
      </c>
    </row>
    <row r="1930" spans="1:8">
      <c r="A1930" s="13"/>
      <c r="B1930" s="1" t="s">
        <v>3804</v>
      </c>
      <c r="C1930" s="1" t="s">
        <v>24</v>
      </c>
      <c r="D1930" s="1" t="s">
        <v>3833</v>
      </c>
      <c r="E1930" s="1" t="s">
        <v>3834</v>
      </c>
      <c r="F1930" s="2">
        <v>575</v>
      </c>
      <c r="G1930" s="3">
        <v>65</v>
      </c>
      <c r="H1930" s="4" t="str">
        <f>IF(AND(A1930="Yes",C1930="School"),COUNTIFS($A$6:A1930,"Yes",$C$6:C1930,"School"),"")</f>
        <v/>
      </c>
    </row>
    <row r="1931" spans="1:8">
      <c r="A1931" s="13"/>
      <c r="B1931" s="1" t="s">
        <v>3804</v>
      </c>
      <c r="C1931" s="1" t="s">
        <v>24</v>
      </c>
      <c r="D1931" s="1" t="s">
        <v>3835</v>
      </c>
      <c r="E1931" s="1" t="s">
        <v>3836</v>
      </c>
      <c r="F1931" s="2">
        <v>556</v>
      </c>
      <c r="G1931" s="3">
        <v>43</v>
      </c>
      <c r="H1931" s="4" t="str">
        <f>IF(AND(A1931="Yes",C1931="School"),COUNTIFS($A$6:A1931,"Yes",$C$6:C1931,"School"),"")</f>
        <v/>
      </c>
    </row>
    <row r="1932" spans="1:8">
      <c r="A1932" s="13"/>
      <c r="B1932" s="1" t="s">
        <v>3804</v>
      </c>
      <c r="C1932" s="1" t="s">
        <v>24</v>
      </c>
      <c r="D1932" s="1" t="s">
        <v>3837</v>
      </c>
      <c r="E1932" s="1" t="s">
        <v>3838</v>
      </c>
      <c r="F1932" s="2">
        <v>424</v>
      </c>
      <c r="G1932" s="3">
        <v>71.5</v>
      </c>
      <c r="H1932" s="4" t="str">
        <f>IF(AND(A1932="Yes",C1932="School"),COUNTIFS($A$6:A1932,"Yes",$C$6:C1932,"School"),"")</f>
        <v/>
      </c>
    </row>
    <row r="1933" spans="1:8">
      <c r="A1933" s="13"/>
      <c r="B1933" s="1" t="s">
        <v>3804</v>
      </c>
      <c r="C1933" s="1" t="s">
        <v>24</v>
      </c>
      <c r="D1933" s="1" t="s">
        <v>3839</v>
      </c>
      <c r="E1933" s="1" t="s">
        <v>3840</v>
      </c>
      <c r="F1933" s="2">
        <v>395</v>
      </c>
      <c r="G1933" s="3">
        <v>68.900000000000006</v>
      </c>
      <c r="H1933" s="4" t="str">
        <f>IF(AND(A1933="Yes",C1933="School"),COUNTIFS($A$6:A1933,"Yes",$C$6:C1933,"School"),"")</f>
        <v/>
      </c>
    </row>
    <row r="1934" spans="1:8">
      <c r="A1934" s="13"/>
      <c r="B1934" s="1" t="s">
        <v>3804</v>
      </c>
      <c r="C1934" s="1" t="s">
        <v>24</v>
      </c>
      <c r="D1934" s="1" t="s">
        <v>3841</v>
      </c>
      <c r="E1934" s="1" t="s">
        <v>3842</v>
      </c>
      <c r="F1934" s="2">
        <v>959</v>
      </c>
      <c r="G1934" s="3">
        <v>27.1</v>
      </c>
      <c r="H1934" s="4" t="str">
        <f>IF(AND(A1934="Yes",C1934="School"),COUNTIFS($A$6:A1934,"Yes",$C$6:C1934,"School"),"")</f>
        <v/>
      </c>
    </row>
    <row r="1935" spans="1:8">
      <c r="A1935" s="13"/>
      <c r="B1935" s="1" t="s">
        <v>3804</v>
      </c>
      <c r="C1935" s="1" t="s">
        <v>24</v>
      </c>
      <c r="D1935" s="1" t="s">
        <v>3843</v>
      </c>
      <c r="E1935" s="1" t="s">
        <v>3844</v>
      </c>
      <c r="F1935" s="2">
        <v>210</v>
      </c>
      <c r="G1935" s="3">
        <v>39</v>
      </c>
      <c r="H1935" s="4" t="str">
        <f>IF(AND(A1935="Yes",C1935="School"),COUNTIFS($A$6:A1935,"Yes",$C$6:C1935,"School"),"")</f>
        <v/>
      </c>
    </row>
    <row r="1936" spans="1:8">
      <c r="A1936" s="13"/>
      <c r="B1936" s="1" t="s">
        <v>3804</v>
      </c>
      <c r="C1936" s="1" t="s">
        <v>24</v>
      </c>
      <c r="D1936" s="1" t="s">
        <v>3845</v>
      </c>
      <c r="E1936" s="1" t="s">
        <v>3846</v>
      </c>
      <c r="F1936" s="2">
        <v>1487</v>
      </c>
      <c r="G1936" s="3">
        <v>44.4</v>
      </c>
      <c r="H1936" s="4" t="str">
        <f>IF(AND(A1936="Yes",C1936="School"),COUNTIFS($A$6:A1936,"Yes",$C$6:C1936,"School"),"")</f>
        <v/>
      </c>
    </row>
    <row r="1937" spans="1:8">
      <c r="A1937" s="13"/>
      <c r="B1937" s="1" t="s">
        <v>3804</v>
      </c>
      <c r="C1937" s="1" t="s">
        <v>24</v>
      </c>
      <c r="D1937" s="1" t="s">
        <v>3847</v>
      </c>
      <c r="E1937" s="1" t="s">
        <v>3848</v>
      </c>
      <c r="F1937" s="2">
        <v>834</v>
      </c>
      <c r="G1937" s="3">
        <v>74.5</v>
      </c>
      <c r="H1937" s="4" t="str">
        <f>IF(AND(A1937="Yes",C1937="School"),COUNTIFS($A$6:A1937,"Yes",$C$6:C1937,"School"),"")</f>
        <v/>
      </c>
    </row>
    <row r="1938" spans="1:8">
      <c r="A1938" s="13"/>
      <c r="B1938" s="1" t="s">
        <v>3804</v>
      </c>
      <c r="C1938" s="1" t="s">
        <v>24</v>
      </c>
      <c r="D1938" s="1" t="s">
        <v>3849</v>
      </c>
      <c r="E1938" s="1" t="s">
        <v>3850</v>
      </c>
      <c r="F1938" s="2">
        <v>811</v>
      </c>
      <c r="G1938" s="3">
        <v>65.7</v>
      </c>
      <c r="H1938" s="4" t="str">
        <f>IF(AND(A1938="Yes",C1938="School"),COUNTIFS($A$6:A1938,"Yes",$C$6:C1938,"School"),"")</f>
        <v/>
      </c>
    </row>
    <row r="1939" spans="1:8">
      <c r="A1939" s="13"/>
      <c r="B1939" s="1" t="s">
        <v>3804</v>
      </c>
      <c r="C1939" s="1" t="s">
        <v>24</v>
      </c>
      <c r="D1939" s="1" t="s">
        <v>1760</v>
      </c>
      <c r="E1939" s="1" t="s">
        <v>3851</v>
      </c>
      <c r="F1939" s="2">
        <v>362</v>
      </c>
      <c r="G1939" s="3">
        <v>70.2</v>
      </c>
      <c r="H1939" s="4" t="str">
        <f>IF(AND(A1939="Yes",C1939="School"),COUNTIFS($A$6:A1939,"Yes",$C$6:C1939,"School"),"")</f>
        <v/>
      </c>
    </row>
    <row r="1940" spans="1:8">
      <c r="A1940" s="13"/>
      <c r="B1940" s="1" t="s">
        <v>3804</v>
      </c>
      <c r="C1940" s="1" t="s">
        <v>24</v>
      </c>
      <c r="D1940" s="1" t="s">
        <v>3852</v>
      </c>
      <c r="E1940" s="1" t="s">
        <v>3853</v>
      </c>
      <c r="F1940" s="2">
        <v>692</v>
      </c>
      <c r="G1940" s="3">
        <v>73.7</v>
      </c>
      <c r="H1940" s="4" t="str">
        <f>IF(AND(A1940="Yes",C1940="School"),COUNTIFS($A$6:A1940,"Yes",$C$6:C1940,"School"),"")</f>
        <v/>
      </c>
    </row>
    <row r="1941" spans="1:8">
      <c r="A1941" s="13"/>
      <c r="B1941" s="1" t="s">
        <v>3804</v>
      </c>
      <c r="C1941" s="1" t="s">
        <v>24</v>
      </c>
      <c r="D1941" s="1" t="s">
        <v>3854</v>
      </c>
      <c r="E1941" s="1" t="s">
        <v>3855</v>
      </c>
      <c r="F1941" s="2">
        <v>333</v>
      </c>
      <c r="G1941" s="3">
        <v>38.700000000000003</v>
      </c>
      <c r="H1941" s="4" t="str">
        <f>IF(AND(A1941="Yes",C1941="School"),COUNTIFS($A$6:A1941,"Yes",$C$6:C1941,"School"),"")</f>
        <v/>
      </c>
    </row>
    <row r="1942" spans="1:8">
      <c r="A1942" s="13"/>
      <c r="B1942" s="1" t="s">
        <v>3804</v>
      </c>
      <c r="C1942" s="1" t="s">
        <v>24</v>
      </c>
      <c r="D1942" s="1" t="s">
        <v>3856</v>
      </c>
      <c r="E1942" s="1" t="s">
        <v>3857</v>
      </c>
      <c r="F1942" s="2">
        <v>27</v>
      </c>
      <c r="G1942" s="3">
        <v>40.700000000000003</v>
      </c>
      <c r="H1942" s="4" t="str">
        <f>IF(AND(A1942="Yes",C1942="School"),COUNTIFS($A$6:A1942,"Yes",$C$6:C1942,"School"),"")</f>
        <v/>
      </c>
    </row>
    <row r="1943" spans="1:8">
      <c r="A1943" s="13"/>
      <c r="B1943" s="1" t="s">
        <v>3804</v>
      </c>
      <c r="C1943" s="1" t="s">
        <v>24</v>
      </c>
      <c r="D1943" s="1" t="s">
        <v>3858</v>
      </c>
      <c r="E1943" s="1" t="s">
        <v>3859</v>
      </c>
      <c r="F1943" s="2">
        <v>671</v>
      </c>
      <c r="G1943" s="3">
        <v>45.5</v>
      </c>
      <c r="H1943" s="4" t="str">
        <f>IF(AND(A1943="Yes",C1943="School"),COUNTIFS($A$6:A1943,"Yes",$C$6:C1943,"School"),"")</f>
        <v/>
      </c>
    </row>
    <row r="1944" spans="1:8">
      <c r="A1944" s="13"/>
      <c r="B1944" s="1" t="s">
        <v>3804</v>
      </c>
      <c r="C1944" s="1" t="s">
        <v>24</v>
      </c>
      <c r="D1944" s="1" t="s">
        <v>3860</v>
      </c>
      <c r="E1944" s="1" t="s">
        <v>3861</v>
      </c>
      <c r="F1944" s="2">
        <v>331</v>
      </c>
      <c r="G1944" s="3">
        <v>74.3</v>
      </c>
      <c r="H1944" s="4" t="str">
        <f>IF(AND(A1944="Yes",C1944="School"),COUNTIFS($A$6:A1944,"Yes",$C$6:C1944,"School"),"")</f>
        <v/>
      </c>
    </row>
    <row r="1945" spans="1:8">
      <c r="A1945" s="13"/>
      <c r="B1945" s="1" t="s">
        <v>3804</v>
      </c>
      <c r="C1945" s="1" t="s">
        <v>24</v>
      </c>
      <c r="D1945" s="1" t="s">
        <v>3862</v>
      </c>
      <c r="E1945" s="1" t="s">
        <v>3863</v>
      </c>
      <c r="F1945" s="2">
        <v>339</v>
      </c>
      <c r="G1945" s="3">
        <v>65.5</v>
      </c>
      <c r="H1945" s="4" t="str">
        <f>IF(AND(A1945="Yes",C1945="School"),COUNTIFS($A$6:A1945,"Yes",$C$6:C1945,"School"),"")</f>
        <v/>
      </c>
    </row>
    <row r="1946" spans="1:8">
      <c r="A1946" s="13"/>
      <c r="B1946" s="1" t="s">
        <v>3804</v>
      </c>
      <c r="C1946" s="1" t="s">
        <v>24</v>
      </c>
      <c r="D1946" s="1" t="s">
        <v>3864</v>
      </c>
      <c r="E1946" s="1" t="s">
        <v>3865</v>
      </c>
      <c r="F1946" s="2">
        <v>1547</v>
      </c>
      <c r="G1946" s="3">
        <v>46.9</v>
      </c>
      <c r="H1946" s="4" t="str">
        <f>IF(AND(A1946="Yes",C1946="School"),COUNTIFS($A$6:A1946,"Yes",$C$6:C1946,"School"),"")</f>
        <v/>
      </c>
    </row>
    <row r="1947" spans="1:8">
      <c r="A1947" s="13"/>
      <c r="B1947" s="1" t="s">
        <v>3804</v>
      </c>
      <c r="C1947" s="1" t="s">
        <v>24</v>
      </c>
      <c r="D1947" s="1" t="s">
        <v>3866</v>
      </c>
      <c r="E1947" s="1" t="s">
        <v>3867</v>
      </c>
      <c r="F1947" s="2">
        <v>304</v>
      </c>
      <c r="G1947" s="3">
        <v>87.8</v>
      </c>
      <c r="H1947" s="4" t="str">
        <f>IF(AND(A1947="Yes",C1947="School"),COUNTIFS($A$6:A1947,"Yes",$C$6:C1947,"School"),"")</f>
        <v/>
      </c>
    </row>
    <row r="1948" spans="1:8">
      <c r="A1948" s="13"/>
      <c r="B1948" s="1" t="s">
        <v>3804</v>
      </c>
      <c r="C1948" s="1" t="s">
        <v>24</v>
      </c>
      <c r="D1948" s="1" t="s">
        <v>3868</v>
      </c>
      <c r="E1948" s="1" t="s">
        <v>3869</v>
      </c>
      <c r="F1948" s="2">
        <v>198</v>
      </c>
      <c r="G1948" s="3">
        <v>44.9</v>
      </c>
      <c r="H1948" s="4" t="str">
        <f>IF(AND(A1948="Yes",C1948="School"),COUNTIFS($A$6:A1948,"Yes",$C$6:C1948,"School"),"")</f>
        <v/>
      </c>
    </row>
    <row r="1949" spans="1:8">
      <c r="A1949" s="13"/>
      <c r="B1949" s="1" t="s">
        <v>3804</v>
      </c>
      <c r="C1949" s="1" t="s">
        <v>24</v>
      </c>
      <c r="D1949" s="1" t="s">
        <v>3870</v>
      </c>
      <c r="E1949" s="1" t="s">
        <v>3871</v>
      </c>
      <c r="F1949" s="2">
        <v>25</v>
      </c>
      <c r="G1949" s="3">
        <v>88</v>
      </c>
      <c r="H1949" s="4" t="str">
        <f>IF(AND(A1949="Yes",C1949="School"),COUNTIFS($A$6:A1949,"Yes",$C$6:C1949,"School"),"")</f>
        <v/>
      </c>
    </row>
    <row r="1950" spans="1:8">
      <c r="A1950" s="13"/>
      <c r="B1950" s="1" t="s">
        <v>3804</v>
      </c>
      <c r="C1950" s="1" t="s">
        <v>24</v>
      </c>
      <c r="D1950" s="1" t="s">
        <v>3872</v>
      </c>
      <c r="E1950" s="1" t="s">
        <v>3873</v>
      </c>
      <c r="F1950" s="2">
        <v>624</v>
      </c>
      <c r="G1950" s="3">
        <v>53</v>
      </c>
      <c r="H1950" s="4" t="str">
        <f>IF(AND(A1950="Yes",C1950="School"),COUNTIFS($A$6:A1950,"Yes",$C$6:C1950,"School"),"")</f>
        <v/>
      </c>
    </row>
    <row r="1951" spans="1:8">
      <c r="A1951" s="13"/>
      <c r="B1951" s="1" t="s">
        <v>3804</v>
      </c>
      <c r="C1951" s="1" t="s">
        <v>24</v>
      </c>
      <c r="D1951" s="1" t="s">
        <v>3874</v>
      </c>
      <c r="E1951" s="1" t="s">
        <v>3875</v>
      </c>
      <c r="F1951" s="2">
        <v>364</v>
      </c>
      <c r="G1951" s="3">
        <v>81.3</v>
      </c>
      <c r="H1951" s="4" t="str">
        <f>IF(AND(A1951="Yes",C1951="School"),COUNTIFS($A$6:A1951,"Yes",$C$6:C1951,"School"),"")</f>
        <v/>
      </c>
    </row>
    <row r="1952" spans="1:8">
      <c r="A1952" s="13"/>
      <c r="B1952" s="1" t="s">
        <v>3804</v>
      </c>
      <c r="C1952" s="1" t="s">
        <v>24</v>
      </c>
      <c r="D1952" s="1" t="s">
        <v>3876</v>
      </c>
      <c r="E1952" s="1" t="s">
        <v>3877</v>
      </c>
      <c r="F1952" s="2">
        <v>375</v>
      </c>
      <c r="G1952" s="3">
        <v>71.7</v>
      </c>
      <c r="H1952" s="4" t="str">
        <f>IF(AND(A1952="Yes",C1952="School"),COUNTIFS($A$6:A1952,"Yes",$C$6:C1952,"School"),"")</f>
        <v/>
      </c>
    </row>
    <row r="1953" spans="1:8">
      <c r="A1953" s="13"/>
      <c r="B1953" s="1" t="s">
        <v>3804</v>
      </c>
      <c r="C1953" s="1" t="s">
        <v>24</v>
      </c>
      <c r="D1953" s="1" t="s">
        <v>3878</v>
      </c>
      <c r="E1953" s="1" t="s">
        <v>3879</v>
      </c>
      <c r="F1953" s="2">
        <v>832</v>
      </c>
      <c r="G1953" s="3">
        <v>35</v>
      </c>
      <c r="H1953" s="4" t="str">
        <f>IF(AND(A1953="Yes",C1953="School"),COUNTIFS($A$6:A1953,"Yes",$C$6:C1953,"School"),"")</f>
        <v/>
      </c>
    </row>
    <row r="1954" spans="1:8">
      <c r="A1954" s="13"/>
      <c r="B1954" s="1" t="s">
        <v>3804</v>
      </c>
      <c r="C1954" s="1" t="s">
        <v>24</v>
      </c>
      <c r="D1954" s="1" t="s">
        <v>3880</v>
      </c>
      <c r="E1954" s="1" t="s">
        <v>3881</v>
      </c>
      <c r="F1954" s="2">
        <v>762</v>
      </c>
      <c r="G1954" s="3">
        <v>40.799999999999997</v>
      </c>
      <c r="H1954" s="4" t="str">
        <f>IF(AND(A1954="Yes",C1954="School"),COUNTIFS($A$6:A1954,"Yes",$C$6:C1954,"School"),"")</f>
        <v/>
      </c>
    </row>
    <row r="1955" spans="1:8">
      <c r="A1955" s="13"/>
      <c r="B1955" s="1" t="s">
        <v>3882</v>
      </c>
      <c r="C1955" s="1" t="s">
        <v>24</v>
      </c>
      <c r="D1955" s="1" t="s">
        <v>3882</v>
      </c>
      <c r="E1955" s="1" t="s">
        <v>3883</v>
      </c>
      <c r="F1955" s="2">
        <v>266</v>
      </c>
      <c r="G1955" s="3">
        <v>47.7</v>
      </c>
      <c r="H1955" s="4" t="str">
        <f>IF(AND(A1955="Yes",C1955="School"),COUNTIFS($A$6:A1955,"Yes",$C$6:C1955,"School"),"")</f>
        <v/>
      </c>
    </row>
    <row r="1956" spans="1:8">
      <c r="A1956" s="13"/>
      <c r="B1956" s="1" t="s">
        <v>3884</v>
      </c>
      <c r="C1956" s="1" t="s">
        <v>40</v>
      </c>
      <c r="D1956" s="1" t="s">
        <v>41</v>
      </c>
      <c r="E1956" s="1" t="s">
        <v>3885</v>
      </c>
      <c r="F1956" s="2">
        <v>2058</v>
      </c>
      <c r="G1956" s="3">
        <v>51.8</v>
      </c>
      <c r="H1956" s="4" t="str">
        <f>IF(AND(A1956="Yes",C1956="School"),COUNTIFS($A$6:A1956,"Yes",$C$6:C1956,"School"),"")</f>
        <v/>
      </c>
    </row>
    <row r="1957" spans="1:8">
      <c r="A1957" s="13"/>
      <c r="B1957" s="1" t="s">
        <v>3884</v>
      </c>
      <c r="C1957" s="1" t="s">
        <v>24</v>
      </c>
      <c r="D1957" s="1" t="s">
        <v>3886</v>
      </c>
      <c r="E1957" s="1" t="s">
        <v>3887</v>
      </c>
      <c r="F1957" s="2">
        <v>375</v>
      </c>
      <c r="G1957" s="3">
        <v>61.9</v>
      </c>
      <c r="H1957" s="4" t="str">
        <f>IF(AND(A1957="Yes",C1957="School"),COUNTIFS($A$6:A1957,"Yes",$C$6:C1957,"School"),"")</f>
        <v/>
      </c>
    </row>
    <row r="1958" spans="1:8">
      <c r="A1958" s="13"/>
      <c r="B1958" s="1" t="s">
        <v>3884</v>
      </c>
      <c r="C1958" s="1" t="s">
        <v>24</v>
      </c>
      <c r="D1958" s="1" t="s">
        <v>3888</v>
      </c>
      <c r="E1958" s="1" t="s">
        <v>3889</v>
      </c>
      <c r="F1958" s="2">
        <v>53</v>
      </c>
      <c r="G1958" s="3">
        <v>34</v>
      </c>
      <c r="H1958" s="4" t="str">
        <f>IF(AND(A1958="Yes",C1958="School"),COUNTIFS($A$6:A1958,"Yes",$C$6:C1958,"School"),"")</f>
        <v/>
      </c>
    </row>
    <row r="1959" spans="1:8">
      <c r="A1959" s="13"/>
      <c r="B1959" s="1" t="s">
        <v>3884</v>
      </c>
      <c r="C1959" s="1" t="s">
        <v>24</v>
      </c>
      <c r="D1959" s="1" t="s">
        <v>3890</v>
      </c>
      <c r="E1959" s="1" t="s">
        <v>3891</v>
      </c>
      <c r="F1959" s="2">
        <v>554</v>
      </c>
      <c r="G1959" s="3">
        <v>45.7</v>
      </c>
      <c r="H1959" s="4" t="str">
        <f>IF(AND(A1959="Yes",C1959="School"),COUNTIFS($A$6:A1959,"Yes",$C$6:C1959,"School"),"")</f>
        <v/>
      </c>
    </row>
    <row r="1960" spans="1:8">
      <c r="A1960" s="13"/>
      <c r="B1960" s="1" t="s">
        <v>3884</v>
      </c>
      <c r="C1960" s="1" t="s">
        <v>24</v>
      </c>
      <c r="D1960" s="1" t="s">
        <v>3892</v>
      </c>
      <c r="E1960" s="1" t="s">
        <v>3893</v>
      </c>
      <c r="F1960" s="2">
        <v>449</v>
      </c>
      <c r="G1960" s="3">
        <v>50.8</v>
      </c>
      <c r="H1960" s="4" t="str">
        <f>IF(AND(A1960="Yes",C1960="School"),COUNTIFS($A$6:A1960,"Yes",$C$6:C1960,"School"),"")</f>
        <v/>
      </c>
    </row>
    <row r="1961" spans="1:8">
      <c r="A1961" s="13"/>
      <c r="B1961" s="1" t="s">
        <v>3884</v>
      </c>
      <c r="C1961" s="1" t="s">
        <v>24</v>
      </c>
      <c r="D1961" s="1" t="s">
        <v>3894</v>
      </c>
      <c r="E1961" s="1" t="s">
        <v>3895</v>
      </c>
      <c r="F1961" s="2">
        <v>145</v>
      </c>
      <c r="G1961" s="3">
        <v>49</v>
      </c>
      <c r="H1961" s="4" t="str">
        <f>IF(AND(A1961="Yes",C1961="School"),COUNTIFS($A$6:A1961,"Yes",$C$6:C1961,"School"),"")</f>
        <v/>
      </c>
    </row>
    <row r="1962" spans="1:8">
      <c r="A1962" s="13"/>
      <c r="B1962" s="1" t="s">
        <v>3884</v>
      </c>
      <c r="C1962" s="1" t="s">
        <v>24</v>
      </c>
      <c r="D1962" s="1" t="s">
        <v>3896</v>
      </c>
      <c r="E1962" s="1" t="s">
        <v>3897</v>
      </c>
      <c r="F1962" s="2">
        <v>110</v>
      </c>
      <c r="G1962" s="3">
        <v>62.7</v>
      </c>
      <c r="H1962" s="4" t="str">
        <f>IF(AND(A1962="Yes",C1962="School"),COUNTIFS($A$6:A1962,"Yes",$C$6:C1962,"School"),"")</f>
        <v/>
      </c>
    </row>
    <row r="1963" spans="1:8">
      <c r="A1963" s="13"/>
      <c r="B1963" s="1" t="s">
        <v>3884</v>
      </c>
      <c r="C1963" s="1" t="s">
        <v>24</v>
      </c>
      <c r="D1963" s="1" t="s">
        <v>3898</v>
      </c>
      <c r="E1963" s="1" t="s">
        <v>3899</v>
      </c>
      <c r="F1963" s="2">
        <v>372</v>
      </c>
      <c r="G1963" s="3">
        <v>52.7</v>
      </c>
      <c r="H1963" s="4" t="str">
        <f>IF(AND(A1963="Yes",C1963="School"),COUNTIFS($A$6:A1963,"Yes",$C$6:C1963,"School"),"")</f>
        <v/>
      </c>
    </row>
    <row r="1964" spans="1:8">
      <c r="A1964" s="13"/>
      <c r="B1964" s="1" t="s">
        <v>3900</v>
      </c>
      <c r="C1964" s="1" t="s">
        <v>24</v>
      </c>
      <c r="D1964" s="1" t="s">
        <v>3900</v>
      </c>
      <c r="E1964" s="1" t="s">
        <v>3901</v>
      </c>
      <c r="F1964" s="2">
        <v>688</v>
      </c>
      <c r="G1964" s="3">
        <v>89.1</v>
      </c>
      <c r="H1964" s="4" t="str">
        <f>IF(AND(A1964="Yes",C1964="School"),COUNTIFS($A$6:A1964,"Yes",$C$6:C1964,"School"),"")</f>
        <v/>
      </c>
    </row>
    <row r="1965" spans="1:8">
      <c r="A1965" s="13"/>
      <c r="B1965" s="1" t="s">
        <v>3902</v>
      </c>
      <c r="C1965" s="1" t="s">
        <v>40</v>
      </c>
      <c r="D1965" s="1" t="s">
        <v>41</v>
      </c>
      <c r="E1965" s="1" t="s">
        <v>3903</v>
      </c>
      <c r="F1965" s="2">
        <v>20060</v>
      </c>
      <c r="G1965" s="3">
        <v>69.8</v>
      </c>
      <c r="H1965" s="4" t="str">
        <f>IF(AND(A1965="Yes",C1965="School"),COUNTIFS($A$6:A1965,"Yes",$C$6:C1965,"School"),"")</f>
        <v/>
      </c>
    </row>
    <row r="1966" spans="1:8">
      <c r="A1966" s="13"/>
      <c r="B1966" s="1" t="s">
        <v>3902</v>
      </c>
      <c r="C1966" s="1" t="s">
        <v>24</v>
      </c>
      <c r="D1966" s="1" t="s">
        <v>3904</v>
      </c>
      <c r="E1966" s="1" t="s">
        <v>3905</v>
      </c>
      <c r="F1966" s="2">
        <v>368</v>
      </c>
      <c r="G1966" s="3">
        <v>81</v>
      </c>
      <c r="H1966" s="4" t="str">
        <f>IF(AND(A1966="Yes",C1966="School"),COUNTIFS($A$6:A1966,"Yes",$C$6:C1966,"School"),"")</f>
        <v/>
      </c>
    </row>
    <row r="1967" spans="1:8">
      <c r="A1967" s="13"/>
      <c r="B1967" s="1" t="s">
        <v>3902</v>
      </c>
      <c r="C1967" s="1" t="s">
        <v>24</v>
      </c>
      <c r="D1967" s="1" t="s">
        <v>3906</v>
      </c>
      <c r="E1967" s="1" t="s">
        <v>3907</v>
      </c>
      <c r="F1967" s="2">
        <v>503</v>
      </c>
      <c r="G1967" s="3">
        <v>72.8</v>
      </c>
      <c r="H1967" s="4" t="str">
        <f>IF(AND(A1967="Yes",C1967="School"),COUNTIFS($A$6:A1967,"Yes",$C$6:C1967,"School"),"")</f>
        <v/>
      </c>
    </row>
    <row r="1968" spans="1:8">
      <c r="A1968" s="13"/>
      <c r="B1968" s="1" t="s">
        <v>3902</v>
      </c>
      <c r="C1968" s="1" t="s">
        <v>24</v>
      </c>
      <c r="D1968" s="1" t="s">
        <v>3908</v>
      </c>
      <c r="E1968" s="1" t="s">
        <v>3909</v>
      </c>
      <c r="F1968" s="2">
        <v>294</v>
      </c>
      <c r="G1968" s="3">
        <v>78.900000000000006</v>
      </c>
      <c r="H1968" s="4" t="str">
        <f>IF(AND(A1968="Yes",C1968="School"),COUNTIFS($A$6:A1968,"Yes",$C$6:C1968,"School"),"")</f>
        <v/>
      </c>
    </row>
    <row r="1969" spans="1:8">
      <c r="A1969" s="13"/>
      <c r="B1969" s="1" t="s">
        <v>3902</v>
      </c>
      <c r="C1969" s="1" t="s">
        <v>24</v>
      </c>
      <c r="D1969" s="1" t="s">
        <v>3910</v>
      </c>
      <c r="E1969" s="1" t="s">
        <v>3911</v>
      </c>
      <c r="F1969" s="2">
        <v>728</v>
      </c>
      <c r="G1969" s="3">
        <v>68.5</v>
      </c>
      <c r="H1969" s="4" t="str">
        <f>IF(AND(A1969="Yes",C1969="School"),COUNTIFS($A$6:A1969,"Yes",$C$6:C1969,"School"),"")</f>
        <v/>
      </c>
    </row>
    <row r="1970" spans="1:8">
      <c r="A1970" s="13"/>
      <c r="B1970" s="1" t="s">
        <v>3902</v>
      </c>
      <c r="C1970" s="1" t="s">
        <v>24</v>
      </c>
      <c r="D1970" s="1" t="s">
        <v>3912</v>
      </c>
      <c r="E1970" s="1" t="s">
        <v>3913</v>
      </c>
      <c r="F1970" s="2">
        <v>272</v>
      </c>
      <c r="G1970" s="3">
        <v>82.7</v>
      </c>
      <c r="H1970" s="4" t="str">
        <f>IF(AND(A1970="Yes",C1970="School"),COUNTIFS($A$6:A1970,"Yes",$C$6:C1970,"School"),"")</f>
        <v/>
      </c>
    </row>
    <row r="1971" spans="1:8">
      <c r="A1971" s="13"/>
      <c r="B1971" s="1" t="s">
        <v>3902</v>
      </c>
      <c r="C1971" s="1" t="s">
        <v>24</v>
      </c>
      <c r="D1971" s="1" t="s">
        <v>3914</v>
      </c>
      <c r="E1971" s="1" t="s">
        <v>3915</v>
      </c>
      <c r="F1971" s="2">
        <v>457</v>
      </c>
      <c r="G1971" s="3">
        <v>70.7</v>
      </c>
      <c r="H1971" s="4" t="str">
        <f>IF(AND(A1971="Yes",C1971="School"),COUNTIFS($A$6:A1971,"Yes",$C$6:C1971,"School"),"")</f>
        <v/>
      </c>
    </row>
    <row r="1972" spans="1:8">
      <c r="A1972" s="13"/>
      <c r="B1972" s="1" t="s">
        <v>3902</v>
      </c>
      <c r="C1972" s="1" t="s">
        <v>24</v>
      </c>
      <c r="D1972" s="1" t="s">
        <v>3916</v>
      </c>
      <c r="E1972" s="1" t="s">
        <v>3917</v>
      </c>
      <c r="F1972" s="2">
        <v>600</v>
      </c>
      <c r="G1972" s="3">
        <v>63.3</v>
      </c>
      <c r="H1972" s="4" t="str">
        <f>IF(AND(A1972="Yes",C1972="School"),COUNTIFS($A$6:A1972,"Yes",$C$6:C1972,"School"),"")</f>
        <v/>
      </c>
    </row>
    <row r="1973" spans="1:8">
      <c r="A1973" s="13"/>
      <c r="B1973" s="1" t="s">
        <v>3902</v>
      </c>
      <c r="C1973" s="1" t="s">
        <v>24</v>
      </c>
      <c r="D1973" s="1" t="s">
        <v>3918</v>
      </c>
      <c r="E1973" s="1" t="s">
        <v>3919</v>
      </c>
      <c r="F1973" s="2">
        <v>390</v>
      </c>
      <c r="G1973" s="3">
        <v>80</v>
      </c>
      <c r="H1973" s="4" t="str">
        <f>IF(AND(A1973="Yes",C1973="School"),COUNTIFS($A$6:A1973,"Yes",$C$6:C1973,"School"),"")</f>
        <v/>
      </c>
    </row>
    <row r="1974" spans="1:8">
      <c r="A1974" s="13"/>
      <c r="B1974" s="1" t="s">
        <v>3902</v>
      </c>
      <c r="C1974" s="1" t="s">
        <v>24</v>
      </c>
      <c r="D1974" s="1" t="s">
        <v>3920</v>
      </c>
      <c r="E1974" s="1" t="s">
        <v>3921</v>
      </c>
      <c r="F1974" s="2">
        <v>669</v>
      </c>
      <c r="G1974" s="3">
        <v>71.599999999999994</v>
      </c>
      <c r="H1974" s="4" t="str">
        <f>IF(AND(A1974="Yes",C1974="School"),COUNTIFS($A$6:A1974,"Yes",$C$6:C1974,"School"),"")</f>
        <v/>
      </c>
    </row>
    <row r="1975" spans="1:8">
      <c r="A1975" s="13"/>
      <c r="B1975" s="1" t="s">
        <v>3902</v>
      </c>
      <c r="C1975" s="1" t="s">
        <v>24</v>
      </c>
      <c r="D1975" s="1" t="s">
        <v>3922</v>
      </c>
      <c r="E1975" s="1" t="s">
        <v>3923</v>
      </c>
      <c r="F1975" s="2">
        <v>1734</v>
      </c>
      <c r="G1975" s="3">
        <v>59.9</v>
      </c>
      <c r="H1975" s="4" t="str">
        <f>IF(AND(A1975="Yes",C1975="School"),COUNTIFS($A$6:A1975,"Yes",$C$6:C1975,"School"),"")</f>
        <v/>
      </c>
    </row>
    <row r="1976" spans="1:8">
      <c r="A1976" s="13"/>
      <c r="B1976" s="1" t="s">
        <v>3902</v>
      </c>
      <c r="C1976" s="1" t="s">
        <v>24</v>
      </c>
      <c r="D1976" s="1" t="s">
        <v>3924</v>
      </c>
      <c r="E1976" s="1" t="s">
        <v>3925</v>
      </c>
      <c r="F1976" s="2">
        <v>727</v>
      </c>
      <c r="G1976" s="3">
        <v>65.900000000000006</v>
      </c>
      <c r="H1976" s="4" t="str">
        <f>IF(AND(A1976="Yes",C1976="School"),COUNTIFS($A$6:A1976,"Yes",$C$6:C1976,"School"),"")</f>
        <v/>
      </c>
    </row>
    <row r="1977" spans="1:8">
      <c r="A1977" s="13"/>
      <c r="B1977" s="1" t="s">
        <v>3902</v>
      </c>
      <c r="C1977" s="1" t="s">
        <v>24</v>
      </c>
      <c r="D1977" s="1" t="s">
        <v>3926</v>
      </c>
      <c r="E1977" s="1" t="s">
        <v>3927</v>
      </c>
      <c r="F1977" s="2">
        <v>290</v>
      </c>
      <c r="G1977" s="3">
        <v>74.099999999999994</v>
      </c>
      <c r="H1977" s="4" t="str">
        <f>IF(AND(A1977="Yes",C1977="School"),COUNTIFS($A$6:A1977,"Yes",$C$6:C1977,"School"),"")</f>
        <v/>
      </c>
    </row>
    <row r="1978" spans="1:8">
      <c r="A1978" s="13"/>
      <c r="B1978" s="1" t="s">
        <v>3902</v>
      </c>
      <c r="C1978" s="1" t="s">
        <v>24</v>
      </c>
      <c r="D1978" s="1" t="s">
        <v>3928</v>
      </c>
      <c r="E1978" s="1" t="s">
        <v>3929</v>
      </c>
      <c r="F1978" s="2">
        <v>289</v>
      </c>
      <c r="G1978" s="3">
        <v>85.8</v>
      </c>
      <c r="H1978" s="4" t="str">
        <f>IF(AND(A1978="Yes",C1978="School"),COUNTIFS($A$6:A1978,"Yes",$C$6:C1978,"School"),"")</f>
        <v/>
      </c>
    </row>
    <row r="1979" spans="1:8">
      <c r="A1979" s="13"/>
      <c r="B1979" s="1" t="s">
        <v>3902</v>
      </c>
      <c r="C1979" s="1" t="s">
        <v>24</v>
      </c>
      <c r="D1979" s="1" t="s">
        <v>3930</v>
      </c>
      <c r="E1979" s="1" t="s">
        <v>3931</v>
      </c>
      <c r="F1979" s="2">
        <v>573</v>
      </c>
      <c r="G1979" s="3">
        <v>72.099999999999994</v>
      </c>
      <c r="H1979" s="4" t="str">
        <f>IF(AND(A1979="Yes",C1979="School"),COUNTIFS($A$6:A1979,"Yes",$C$6:C1979,"School"),"")</f>
        <v/>
      </c>
    </row>
    <row r="1980" spans="1:8">
      <c r="A1980" s="13"/>
      <c r="B1980" s="1" t="s">
        <v>3902</v>
      </c>
      <c r="C1980" s="1" t="s">
        <v>24</v>
      </c>
      <c r="D1980" s="1" t="s">
        <v>3932</v>
      </c>
      <c r="E1980" s="1" t="s">
        <v>3933</v>
      </c>
      <c r="F1980" s="2">
        <v>670</v>
      </c>
      <c r="G1980" s="3">
        <v>77.8</v>
      </c>
      <c r="H1980" s="4" t="str">
        <f>IF(AND(A1980="Yes",C1980="School"),COUNTIFS($A$6:A1980,"Yes",$C$6:C1980,"School"),"")</f>
        <v/>
      </c>
    </row>
    <row r="1981" spans="1:8">
      <c r="A1981" s="13"/>
      <c r="B1981" s="1" t="s">
        <v>3902</v>
      </c>
      <c r="C1981" s="1" t="s">
        <v>24</v>
      </c>
      <c r="D1981" s="1" t="s">
        <v>3934</v>
      </c>
      <c r="E1981" s="1" t="s">
        <v>3935</v>
      </c>
      <c r="F1981" s="2">
        <v>613</v>
      </c>
      <c r="G1981" s="3">
        <v>72.099999999999994</v>
      </c>
      <c r="H1981" s="4" t="str">
        <f>IF(AND(A1981="Yes",C1981="School"),COUNTIFS($A$6:A1981,"Yes",$C$6:C1981,"School"),"")</f>
        <v/>
      </c>
    </row>
    <row r="1982" spans="1:8">
      <c r="A1982" s="13"/>
      <c r="B1982" s="1" t="s">
        <v>3902</v>
      </c>
      <c r="C1982" s="1" t="s">
        <v>24</v>
      </c>
      <c r="D1982" s="1" t="s">
        <v>3936</v>
      </c>
      <c r="E1982" s="1" t="s">
        <v>3937</v>
      </c>
      <c r="F1982" s="2">
        <v>550</v>
      </c>
      <c r="G1982" s="3">
        <v>76.2</v>
      </c>
      <c r="H1982" s="4" t="str">
        <f>IF(AND(A1982="Yes",C1982="School"),COUNTIFS($A$6:A1982,"Yes",$C$6:C1982,"School"),"")</f>
        <v/>
      </c>
    </row>
    <row r="1983" spans="1:8">
      <c r="A1983" s="13"/>
      <c r="B1983" s="1" t="s">
        <v>3902</v>
      </c>
      <c r="C1983" s="1" t="s">
        <v>24</v>
      </c>
      <c r="D1983" s="1" t="s">
        <v>1128</v>
      </c>
      <c r="E1983" s="1" t="s">
        <v>3938</v>
      </c>
      <c r="F1983" s="2">
        <v>491</v>
      </c>
      <c r="G1983" s="3">
        <v>72.900000000000006</v>
      </c>
      <c r="H1983" s="4" t="str">
        <f>IF(AND(A1983="Yes",C1983="School"),COUNTIFS($A$6:A1983,"Yes",$C$6:C1983,"School"),"")</f>
        <v/>
      </c>
    </row>
    <row r="1984" spans="1:8">
      <c r="A1984" s="13"/>
      <c r="B1984" s="1" t="s">
        <v>3902</v>
      </c>
      <c r="C1984" s="1" t="s">
        <v>24</v>
      </c>
      <c r="D1984" s="1" t="s">
        <v>3939</v>
      </c>
      <c r="E1984" s="1" t="s">
        <v>3940</v>
      </c>
      <c r="F1984" s="2">
        <v>778</v>
      </c>
      <c r="G1984" s="3">
        <v>63.4</v>
      </c>
      <c r="H1984" s="4" t="str">
        <f>IF(AND(A1984="Yes",C1984="School"),COUNTIFS($A$6:A1984,"Yes",$C$6:C1984,"School"),"")</f>
        <v/>
      </c>
    </row>
    <row r="1985" spans="1:8">
      <c r="A1985" s="13"/>
      <c r="B1985" s="1" t="s">
        <v>3902</v>
      </c>
      <c r="C1985" s="1" t="s">
        <v>24</v>
      </c>
      <c r="D1985" s="1" t="s">
        <v>3941</v>
      </c>
      <c r="E1985" s="1" t="s">
        <v>3942</v>
      </c>
      <c r="F1985" s="2">
        <v>287</v>
      </c>
      <c r="G1985" s="3">
        <v>33.4</v>
      </c>
      <c r="H1985" s="4" t="str">
        <f>IF(AND(A1985="Yes",C1985="School"),COUNTIFS($A$6:A1985,"Yes",$C$6:C1985,"School"),"")</f>
        <v/>
      </c>
    </row>
    <row r="1986" spans="1:8">
      <c r="A1986" s="13"/>
      <c r="B1986" s="1" t="s">
        <v>3902</v>
      </c>
      <c r="C1986" s="1" t="s">
        <v>24</v>
      </c>
      <c r="D1986" s="1" t="s">
        <v>3943</v>
      </c>
      <c r="E1986" s="1" t="s">
        <v>3944</v>
      </c>
      <c r="F1986" s="2">
        <v>1428</v>
      </c>
      <c r="G1986" s="3">
        <v>64.099999999999994</v>
      </c>
      <c r="H1986" s="4" t="str">
        <f>IF(AND(A1986="Yes",C1986="School"),COUNTIFS($A$6:A1986,"Yes",$C$6:C1986,"School"),"")</f>
        <v/>
      </c>
    </row>
    <row r="1987" spans="1:8">
      <c r="A1987" s="13"/>
      <c r="B1987" s="1" t="s">
        <v>3902</v>
      </c>
      <c r="C1987" s="1" t="s">
        <v>24</v>
      </c>
      <c r="D1987" s="1" t="s">
        <v>3945</v>
      </c>
      <c r="E1987" s="1" t="s">
        <v>3946</v>
      </c>
      <c r="F1987" s="2">
        <v>736</v>
      </c>
      <c r="G1987" s="3">
        <v>68.099999999999994</v>
      </c>
      <c r="H1987" s="4" t="str">
        <f>IF(AND(A1987="Yes",C1987="School"),COUNTIFS($A$6:A1987,"Yes",$C$6:C1987,"School"),"")</f>
        <v/>
      </c>
    </row>
    <row r="1988" spans="1:8">
      <c r="A1988" s="13"/>
      <c r="B1988" s="1" t="s">
        <v>3902</v>
      </c>
      <c r="C1988" s="1" t="s">
        <v>24</v>
      </c>
      <c r="D1988" s="1" t="s">
        <v>3947</v>
      </c>
      <c r="E1988" s="1" t="s">
        <v>3948</v>
      </c>
      <c r="F1988" s="2">
        <v>548</v>
      </c>
      <c r="G1988" s="3">
        <v>70.400000000000006</v>
      </c>
      <c r="H1988" s="4" t="str">
        <f>IF(AND(A1988="Yes",C1988="School"),COUNTIFS($A$6:A1988,"Yes",$C$6:C1988,"School"),"")</f>
        <v/>
      </c>
    </row>
    <row r="1989" spans="1:8">
      <c r="A1989" s="13"/>
      <c r="B1989" s="1" t="s">
        <v>3902</v>
      </c>
      <c r="C1989" s="1" t="s">
        <v>24</v>
      </c>
      <c r="D1989" s="1" t="s">
        <v>3949</v>
      </c>
      <c r="E1989" s="1" t="s">
        <v>3950</v>
      </c>
      <c r="F1989" s="2">
        <v>377</v>
      </c>
      <c r="G1989" s="3">
        <v>78.8</v>
      </c>
      <c r="H1989" s="4" t="str">
        <f>IF(AND(A1989="Yes",C1989="School"),COUNTIFS($A$6:A1989,"Yes",$C$6:C1989,"School"),"")</f>
        <v/>
      </c>
    </row>
    <row r="1990" spans="1:8">
      <c r="A1990" s="13"/>
      <c r="B1990" s="1" t="s">
        <v>3902</v>
      </c>
      <c r="C1990" s="1" t="s">
        <v>24</v>
      </c>
      <c r="D1990" s="1" t="s">
        <v>3951</v>
      </c>
      <c r="E1990" s="1" t="s">
        <v>3952</v>
      </c>
      <c r="F1990" s="2">
        <v>375</v>
      </c>
      <c r="G1990" s="3">
        <v>86.9</v>
      </c>
      <c r="H1990" s="4" t="str">
        <f>IF(AND(A1990="Yes",C1990="School"),COUNTIFS($A$6:A1990,"Yes",$C$6:C1990,"School"),"")</f>
        <v/>
      </c>
    </row>
    <row r="1991" spans="1:8">
      <c r="A1991" s="13"/>
      <c r="B1991" s="1" t="s">
        <v>3902</v>
      </c>
      <c r="C1991" s="1" t="s">
        <v>24</v>
      </c>
      <c r="D1991" s="1" t="s">
        <v>3953</v>
      </c>
      <c r="E1991" s="1" t="s">
        <v>3954</v>
      </c>
      <c r="F1991" s="2">
        <v>534</v>
      </c>
      <c r="G1991" s="3">
        <v>74</v>
      </c>
      <c r="H1991" s="4" t="str">
        <f>IF(AND(A1991="Yes",C1991="School"),COUNTIFS($A$6:A1991,"Yes",$C$6:C1991,"School"),"")</f>
        <v/>
      </c>
    </row>
    <row r="1992" spans="1:8">
      <c r="A1992" s="13"/>
      <c r="B1992" s="1" t="s">
        <v>3902</v>
      </c>
      <c r="C1992" s="1" t="s">
        <v>24</v>
      </c>
      <c r="D1992" s="1" t="s">
        <v>3955</v>
      </c>
      <c r="E1992" s="1" t="s">
        <v>3956</v>
      </c>
      <c r="F1992" s="2">
        <v>722</v>
      </c>
      <c r="G1992" s="3">
        <v>68.099999999999994</v>
      </c>
      <c r="H1992" s="4" t="str">
        <f>IF(AND(A1992="Yes",C1992="School"),COUNTIFS($A$6:A1992,"Yes",$C$6:C1992,"School"),"")</f>
        <v/>
      </c>
    </row>
    <row r="1993" spans="1:8">
      <c r="A1993" s="13"/>
      <c r="B1993" s="1" t="s">
        <v>3902</v>
      </c>
      <c r="C1993" s="1" t="s">
        <v>24</v>
      </c>
      <c r="D1993" s="1" t="s">
        <v>3957</v>
      </c>
      <c r="E1993" s="1" t="s">
        <v>3958</v>
      </c>
      <c r="F1993" s="2">
        <v>1074</v>
      </c>
      <c r="G1993" s="3">
        <v>64.400000000000006</v>
      </c>
      <c r="H1993" s="4" t="str">
        <f>IF(AND(A1993="Yes",C1993="School"),COUNTIFS($A$6:A1993,"Yes",$C$6:C1993,"School"),"")</f>
        <v/>
      </c>
    </row>
    <row r="1994" spans="1:8">
      <c r="A1994" s="13"/>
      <c r="B1994" s="1" t="s">
        <v>3902</v>
      </c>
      <c r="C1994" s="1" t="s">
        <v>24</v>
      </c>
      <c r="D1994" s="1" t="s">
        <v>3959</v>
      </c>
      <c r="E1994" s="1" t="s">
        <v>3960</v>
      </c>
      <c r="F1994" s="2">
        <v>671</v>
      </c>
      <c r="G1994" s="3">
        <v>64.400000000000006</v>
      </c>
      <c r="H1994" s="4" t="str">
        <f>IF(AND(A1994="Yes",C1994="School"),COUNTIFS($A$6:A1994,"Yes",$C$6:C1994,"School"),"")</f>
        <v/>
      </c>
    </row>
    <row r="1995" spans="1:8">
      <c r="A1995" s="13"/>
      <c r="B1995" s="1" t="s">
        <v>3902</v>
      </c>
      <c r="C1995" s="1" t="s">
        <v>24</v>
      </c>
      <c r="D1995" s="1" t="s">
        <v>3961</v>
      </c>
      <c r="E1995" s="1" t="s">
        <v>3962</v>
      </c>
      <c r="F1995" s="2">
        <v>334</v>
      </c>
      <c r="G1995" s="3">
        <v>78.7</v>
      </c>
      <c r="H1995" s="4" t="str">
        <f>IF(AND(A1995="Yes",C1995="School"),COUNTIFS($A$6:A1995,"Yes",$C$6:C1995,"School"),"")</f>
        <v/>
      </c>
    </row>
    <row r="1996" spans="1:8">
      <c r="A1996" s="13"/>
      <c r="B1996" s="1" t="s">
        <v>3902</v>
      </c>
      <c r="C1996" s="1" t="s">
        <v>24</v>
      </c>
      <c r="D1996" s="1" t="s">
        <v>3963</v>
      </c>
      <c r="E1996" s="1" t="s">
        <v>3964</v>
      </c>
      <c r="F1996" s="2">
        <v>186</v>
      </c>
      <c r="G1996" s="3">
        <v>80.599999999999994</v>
      </c>
      <c r="H1996" s="4" t="str">
        <f>IF(AND(A1996="Yes",C1996="School"),COUNTIFS($A$6:A1996,"Yes",$C$6:C1996,"School"),"")</f>
        <v/>
      </c>
    </row>
    <row r="1997" spans="1:8">
      <c r="A1997" s="13"/>
      <c r="B1997" s="1" t="s">
        <v>3902</v>
      </c>
      <c r="C1997" s="1" t="s">
        <v>24</v>
      </c>
      <c r="D1997" s="1" t="s">
        <v>3965</v>
      </c>
      <c r="E1997" s="1" t="s">
        <v>3966</v>
      </c>
      <c r="F1997" s="2">
        <v>343</v>
      </c>
      <c r="G1997" s="3">
        <v>62.7</v>
      </c>
      <c r="H1997" s="4" t="str">
        <f>IF(AND(A1997="Yes",C1997="School"),COUNTIFS($A$6:A1997,"Yes",$C$6:C1997,"School"),"")</f>
        <v/>
      </c>
    </row>
    <row r="1998" spans="1:8">
      <c r="A1998" s="13"/>
      <c r="B1998" s="1" t="s">
        <v>3902</v>
      </c>
      <c r="C1998" s="1" t="s">
        <v>24</v>
      </c>
      <c r="D1998" s="1" t="s">
        <v>3967</v>
      </c>
      <c r="E1998" s="1" t="s">
        <v>3968</v>
      </c>
      <c r="F1998" s="2">
        <v>262</v>
      </c>
      <c r="G1998" s="3">
        <v>82.4</v>
      </c>
      <c r="H1998" s="4" t="str">
        <f>IF(AND(A1998="Yes",C1998="School"),COUNTIFS($A$6:A1998,"Yes",$C$6:C1998,"School"),"")</f>
        <v/>
      </c>
    </row>
    <row r="1999" spans="1:8">
      <c r="A1999" s="13"/>
      <c r="B1999" s="1" t="s">
        <v>3902</v>
      </c>
      <c r="C1999" s="1" t="s">
        <v>24</v>
      </c>
      <c r="D1999" s="1" t="s">
        <v>3969</v>
      </c>
      <c r="E1999" s="1" t="s">
        <v>3970</v>
      </c>
      <c r="F1999" s="2">
        <v>449</v>
      </c>
      <c r="G1999" s="3">
        <v>70.2</v>
      </c>
      <c r="H1999" s="4" t="str">
        <f>IF(AND(A1999="Yes",C1999="School"),COUNTIFS($A$6:A1999,"Yes",$C$6:C1999,"School"),"")</f>
        <v/>
      </c>
    </row>
    <row r="2000" spans="1:8">
      <c r="A2000" s="13"/>
      <c r="B2000" s="1" t="s">
        <v>3902</v>
      </c>
      <c r="C2000" s="1" t="s">
        <v>24</v>
      </c>
      <c r="D2000" s="1" t="s">
        <v>381</v>
      </c>
      <c r="E2000" s="1" t="s">
        <v>3971</v>
      </c>
      <c r="F2000" s="2">
        <v>348</v>
      </c>
      <c r="G2000" s="3">
        <v>78.400000000000006</v>
      </c>
      <c r="H2000" s="4" t="str">
        <f>IF(AND(A2000="Yes",C2000="School"),COUNTIFS($A$6:A2000,"Yes",$C$6:C2000,"School"),"")</f>
        <v/>
      </c>
    </row>
    <row r="2001" spans="1:8">
      <c r="A2001" s="13"/>
      <c r="B2001" s="1" t="s">
        <v>3902</v>
      </c>
      <c r="C2001" s="1" t="s">
        <v>24</v>
      </c>
      <c r="D2001" s="1" t="s">
        <v>3972</v>
      </c>
      <c r="E2001" s="1" t="s">
        <v>3973</v>
      </c>
      <c r="F2001" s="2">
        <v>390</v>
      </c>
      <c r="G2001" s="3">
        <v>77.2</v>
      </c>
      <c r="H2001" s="4" t="str">
        <f>IF(AND(A2001="Yes",C2001="School"),COUNTIFS($A$6:A2001,"Yes",$C$6:C2001,"School"),"")</f>
        <v/>
      </c>
    </row>
    <row r="2002" spans="1:8">
      <c r="A2002" s="13"/>
      <c r="B2002" s="1" t="s">
        <v>3974</v>
      </c>
      <c r="C2002" s="1" t="s">
        <v>24</v>
      </c>
      <c r="D2002" s="1" t="s">
        <v>3974</v>
      </c>
      <c r="E2002" s="1" t="s">
        <v>3975</v>
      </c>
      <c r="F2002" s="2">
        <v>802</v>
      </c>
      <c r="G2002" s="3">
        <v>75.3</v>
      </c>
      <c r="H2002" s="4" t="str">
        <f>IF(AND(A2002="Yes",C2002="School"),COUNTIFS($A$6:A2002,"Yes",$C$6:C2002,"School"),"")</f>
        <v/>
      </c>
    </row>
    <row r="2003" spans="1:8">
      <c r="A2003" s="13"/>
      <c r="B2003" s="1" t="s">
        <v>3976</v>
      </c>
      <c r="C2003" s="1" t="s">
        <v>24</v>
      </c>
      <c r="D2003" s="1" t="s">
        <v>3976</v>
      </c>
      <c r="E2003" s="1" t="s">
        <v>3977</v>
      </c>
      <c r="F2003" s="2">
        <v>1295</v>
      </c>
      <c r="G2003" s="3">
        <v>44.1</v>
      </c>
      <c r="H2003" s="4" t="str">
        <f>IF(AND(A2003="Yes",C2003="School"),COUNTIFS($A$6:A2003,"Yes",$C$6:C2003,"School"),"")</f>
        <v/>
      </c>
    </row>
    <row r="2004" spans="1:8">
      <c r="A2004" s="13"/>
      <c r="B2004" s="1" t="s">
        <v>3978</v>
      </c>
      <c r="C2004" s="1" t="s">
        <v>24</v>
      </c>
      <c r="D2004" s="1" t="s">
        <v>3978</v>
      </c>
      <c r="E2004" s="1" t="s">
        <v>3979</v>
      </c>
      <c r="F2004" s="2">
        <v>139</v>
      </c>
      <c r="G2004" s="3">
        <v>5.8</v>
      </c>
      <c r="H2004" s="4" t="str">
        <f>IF(AND(A2004="Yes",C2004="School"),COUNTIFS($A$6:A2004,"Yes",$C$6:C2004,"School"),"")</f>
        <v/>
      </c>
    </row>
    <row r="2005" spans="1:8">
      <c r="A2005" s="13"/>
      <c r="B2005" s="1" t="s">
        <v>3980</v>
      </c>
      <c r="C2005" s="1" t="s">
        <v>24</v>
      </c>
      <c r="D2005" s="1" t="s">
        <v>3980</v>
      </c>
      <c r="E2005" s="1" t="s">
        <v>3981</v>
      </c>
      <c r="F2005" s="2">
        <v>549</v>
      </c>
      <c r="G2005" s="3">
        <v>6.9</v>
      </c>
      <c r="H2005" s="4" t="str">
        <f>IF(AND(A2005="Yes",C2005="School"),COUNTIFS($A$6:A2005,"Yes",$C$6:C2005,"School"),"")</f>
        <v/>
      </c>
    </row>
    <row r="2006" spans="1:8">
      <c r="A2006" s="13"/>
      <c r="B2006" s="1" t="s">
        <v>3982</v>
      </c>
      <c r="C2006" s="1" t="s">
        <v>24</v>
      </c>
      <c r="D2006" s="1" t="s">
        <v>3982</v>
      </c>
      <c r="E2006" s="1" t="s">
        <v>3983</v>
      </c>
      <c r="F2006" s="2">
        <v>525</v>
      </c>
      <c r="G2006" s="3">
        <v>40.6</v>
      </c>
      <c r="H2006" s="4" t="str">
        <f>IF(AND(A2006="Yes",C2006="School"),COUNTIFS($A$6:A2006,"Yes",$C$6:C2006,"School"),"")</f>
        <v/>
      </c>
    </row>
    <row r="2007" spans="1:8">
      <c r="A2007" s="13"/>
      <c r="B2007" s="1" t="s">
        <v>3984</v>
      </c>
      <c r="C2007" s="1" t="s">
        <v>40</v>
      </c>
      <c r="D2007" s="1" t="s">
        <v>41</v>
      </c>
      <c r="E2007" s="1" t="s">
        <v>3985</v>
      </c>
      <c r="F2007" s="2">
        <v>14506</v>
      </c>
      <c r="G2007" s="3">
        <v>53.1</v>
      </c>
      <c r="H2007" s="4" t="str">
        <f>IF(AND(A2007="Yes",C2007="School"),COUNTIFS($A$6:A2007,"Yes",$C$6:C2007,"School"),"")</f>
        <v/>
      </c>
    </row>
    <row r="2008" spans="1:8">
      <c r="A2008" s="13"/>
      <c r="B2008" s="1" t="s">
        <v>3984</v>
      </c>
      <c r="C2008" s="1" t="s">
        <v>24</v>
      </c>
      <c r="D2008" s="1" t="s">
        <v>3986</v>
      </c>
      <c r="E2008" s="1" t="s">
        <v>3987</v>
      </c>
      <c r="F2008" s="2">
        <v>325</v>
      </c>
      <c r="G2008" s="3">
        <v>65.2</v>
      </c>
      <c r="H2008" s="4" t="str">
        <f>IF(AND(A2008="Yes",C2008="School"),COUNTIFS($A$6:A2008,"Yes",$C$6:C2008,"School"),"")</f>
        <v/>
      </c>
    </row>
    <row r="2009" spans="1:8">
      <c r="A2009" s="13"/>
      <c r="B2009" s="1" t="s">
        <v>3984</v>
      </c>
      <c r="C2009" s="1" t="s">
        <v>24</v>
      </c>
      <c r="D2009" s="1" t="s">
        <v>3988</v>
      </c>
      <c r="E2009" s="1" t="s">
        <v>3989</v>
      </c>
      <c r="F2009" s="2">
        <v>261</v>
      </c>
      <c r="G2009" s="3">
        <v>58.2</v>
      </c>
      <c r="H2009" s="4" t="str">
        <f>IF(AND(A2009="Yes",C2009="School"),COUNTIFS($A$6:A2009,"Yes",$C$6:C2009,"School"),"")</f>
        <v/>
      </c>
    </row>
    <row r="2010" spans="1:8">
      <c r="A2010" s="13"/>
      <c r="B2010" s="1" t="s">
        <v>3984</v>
      </c>
      <c r="C2010" s="1" t="s">
        <v>24</v>
      </c>
      <c r="D2010" s="1" t="s">
        <v>3990</v>
      </c>
      <c r="E2010" s="1" t="s">
        <v>3991</v>
      </c>
      <c r="F2010" s="2">
        <v>574</v>
      </c>
      <c r="G2010" s="3">
        <v>51.6</v>
      </c>
      <c r="H2010" s="4" t="str">
        <f>IF(AND(A2010="Yes",C2010="School"),COUNTIFS($A$6:A2010,"Yes",$C$6:C2010,"School"),"")</f>
        <v/>
      </c>
    </row>
    <row r="2011" spans="1:8">
      <c r="A2011" s="13"/>
      <c r="B2011" s="1" t="s">
        <v>3984</v>
      </c>
      <c r="C2011" s="1" t="s">
        <v>24</v>
      </c>
      <c r="D2011" s="1" t="s">
        <v>3992</v>
      </c>
      <c r="E2011" s="1" t="s">
        <v>3993</v>
      </c>
      <c r="F2011" s="2">
        <v>229</v>
      </c>
      <c r="G2011" s="3">
        <v>47.2</v>
      </c>
      <c r="H2011" s="4" t="str">
        <f>IF(AND(A2011="Yes",C2011="School"),COUNTIFS($A$6:A2011,"Yes",$C$6:C2011,"School"),"")</f>
        <v/>
      </c>
    </row>
    <row r="2012" spans="1:8">
      <c r="A2012" s="13"/>
      <c r="B2012" s="1" t="s">
        <v>3984</v>
      </c>
      <c r="C2012" s="1" t="s">
        <v>24</v>
      </c>
      <c r="D2012" s="1" t="s">
        <v>3994</v>
      </c>
      <c r="E2012" s="1" t="s">
        <v>3995</v>
      </c>
      <c r="F2012" s="2">
        <v>277</v>
      </c>
      <c r="G2012" s="3">
        <v>58.8</v>
      </c>
      <c r="H2012" s="4" t="str">
        <f>IF(AND(A2012="Yes",C2012="School"),COUNTIFS($A$6:A2012,"Yes",$C$6:C2012,"School"),"")</f>
        <v/>
      </c>
    </row>
    <row r="2013" spans="1:8">
      <c r="A2013" s="13"/>
      <c r="B2013" s="1" t="s">
        <v>3984</v>
      </c>
      <c r="C2013" s="1" t="s">
        <v>24</v>
      </c>
      <c r="D2013" s="1" t="s">
        <v>3996</v>
      </c>
      <c r="E2013" s="1" t="s">
        <v>3997</v>
      </c>
      <c r="F2013" s="2">
        <v>456</v>
      </c>
      <c r="G2013" s="3">
        <v>52</v>
      </c>
      <c r="H2013" s="4" t="str">
        <f>IF(AND(A2013="Yes",C2013="School"),COUNTIFS($A$6:A2013,"Yes",$C$6:C2013,"School"),"")</f>
        <v/>
      </c>
    </row>
    <row r="2014" spans="1:8">
      <c r="A2014" s="13"/>
      <c r="B2014" s="1" t="s">
        <v>3984</v>
      </c>
      <c r="C2014" s="1" t="s">
        <v>24</v>
      </c>
      <c r="D2014" s="1" t="s">
        <v>3998</v>
      </c>
      <c r="E2014" s="1" t="s">
        <v>3999</v>
      </c>
      <c r="F2014" s="2">
        <v>645</v>
      </c>
      <c r="G2014" s="3">
        <v>42.9</v>
      </c>
      <c r="H2014" s="4" t="str">
        <f>IF(AND(A2014="Yes",C2014="School"),COUNTIFS($A$6:A2014,"Yes",$C$6:C2014,"School"),"")</f>
        <v/>
      </c>
    </row>
    <row r="2015" spans="1:8">
      <c r="A2015" s="13"/>
      <c r="B2015" s="1" t="s">
        <v>3984</v>
      </c>
      <c r="C2015" s="1" t="s">
        <v>24</v>
      </c>
      <c r="D2015" s="1" t="s">
        <v>4000</v>
      </c>
      <c r="E2015" s="1" t="s">
        <v>4001</v>
      </c>
      <c r="F2015" s="2">
        <v>391</v>
      </c>
      <c r="G2015" s="3">
        <v>49.1</v>
      </c>
      <c r="H2015" s="4" t="str">
        <f>IF(AND(A2015="Yes",C2015="School"),COUNTIFS($A$6:A2015,"Yes",$C$6:C2015,"School"),"")</f>
        <v/>
      </c>
    </row>
    <row r="2016" spans="1:8">
      <c r="A2016" s="13"/>
      <c r="B2016" s="1" t="s">
        <v>3984</v>
      </c>
      <c r="C2016" s="1" t="s">
        <v>24</v>
      </c>
      <c r="D2016" s="1" t="s">
        <v>4002</v>
      </c>
      <c r="E2016" s="1" t="s">
        <v>4003</v>
      </c>
      <c r="F2016" s="2">
        <v>441</v>
      </c>
      <c r="G2016" s="3">
        <v>56</v>
      </c>
      <c r="H2016" s="4" t="str">
        <f>IF(AND(A2016="Yes",C2016="School"),COUNTIFS($A$6:A2016,"Yes",$C$6:C2016,"School"),"")</f>
        <v/>
      </c>
    </row>
    <row r="2017" spans="1:8">
      <c r="A2017" s="13"/>
      <c r="B2017" s="1" t="s">
        <v>3984</v>
      </c>
      <c r="C2017" s="1" t="s">
        <v>24</v>
      </c>
      <c r="D2017" s="1" t="s">
        <v>4004</v>
      </c>
      <c r="E2017" s="1" t="s">
        <v>4005</v>
      </c>
      <c r="F2017" s="2">
        <v>426</v>
      </c>
      <c r="G2017" s="3">
        <v>59.2</v>
      </c>
      <c r="H2017" s="4" t="str">
        <f>IF(AND(A2017="Yes",C2017="School"),COUNTIFS($A$6:A2017,"Yes",$C$6:C2017,"School"),"")</f>
        <v/>
      </c>
    </row>
    <row r="2018" spans="1:8">
      <c r="A2018" s="13"/>
      <c r="B2018" s="1" t="s">
        <v>3984</v>
      </c>
      <c r="C2018" s="1" t="s">
        <v>24</v>
      </c>
      <c r="D2018" s="1" t="s">
        <v>4006</v>
      </c>
      <c r="E2018" s="1" t="s">
        <v>4007</v>
      </c>
      <c r="F2018" s="2">
        <v>372</v>
      </c>
      <c r="G2018" s="3">
        <v>46.8</v>
      </c>
      <c r="H2018" s="4" t="str">
        <f>IF(AND(A2018="Yes",C2018="School"),COUNTIFS($A$6:A2018,"Yes",$C$6:C2018,"School"),"")</f>
        <v/>
      </c>
    </row>
    <row r="2019" spans="1:8">
      <c r="A2019" s="13"/>
      <c r="B2019" s="1" t="s">
        <v>3984</v>
      </c>
      <c r="C2019" s="1" t="s">
        <v>24</v>
      </c>
      <c r="D2019" s="1" t="s">
        <v>4008</v>
      </c>
      <c r="E2019" s="1" t="s">
        <v>4009</v>
      </c>
      <c r="F2019" s="2">
        <v>483</v>
      </c>
      <c r="G2019" s="3">
        <v>46</v>
      </c>
      <c r="H2019" s="4" t="str">
        <f>IF(AND(A2019="Yes",C2019="School"),COUNTIFS($A$6:A2019,"Yes",$C$6:C2019,"School"),"")</f>
        <v/>
      </c>
    </row>
    <row r="2020" spans="1:8">
      <c r="A2020" s="13"/>
      <c r="B2020" s="1" t="s">
        <v>3984</v>
      </c>
      <c r="C2020" s="1" t="s">
        <v>24</v>
      </c>
      <c r="D2020" s="1" t="s">
        <v>4010</v>
      </c>
      <c r="E2020" s="1" t="s">
        <v>4011</v>
      </c>
      <c r="F2020" s="2">
        <v>534</v>
      </c>
      <c r="G2020" s="3">
        <v>50.9</v>
      </c>
      <c r="H2020" s="4" t="str">
        <f>IF(AND(A2020="Yes",C2020="School"),COUNTIFS($A$6:A2020,"Yes",$C$6:C2020,"School"),"")</f>
        <v/>
      </c>
    </row>
    <row r="2021" spans="1:8">
      <c r="A2021" s="13"/>
      <c r="B2021" s="1" t="s">
        <v>3984</v>
      </c>
      <c r="C2021" s="1" t="s">
        <v>24</v>
      </c>
      <c r="D2021" s="1" t="s">
        <v>4012</v>
      </c>
      <c r="E2021" s="1" t="s">
        <v>4013</v>
      </c>
      <c r="F2021" s="2">
        <v>361</v>
      </c>
      <c r="G2021" s="3">
        <v>69</v>
      </c>
      <c r="H2021" s="4" t="str">
        <f>IF(AND(A2021="Yes",C2021="School"),COUNTIFS($A$6:A2021,"Yes",$C$6:C2021,"School"),"")</f>
        <v/>
      </c>
    </row>
    <row r="2022" spans="1:8">
      <c r="A2022" s="13"/>
      <c r="B2022" s="1" t="s">
        <v>3984</v>
      </c>
      <c r="C2022" s="1" t="s">
        <v>24</v>
      </c>
      <c r="D2022" s="1" t="s">
        <v>4014</v>
      </c>
      <c r="E2022" s="1" t="s">
        <v>4015</v>
      </c>
      <c r="F2022" s="2">
        <v>481</v>
      </c>
      <c r="G2022" s="3">
        <v>64.7</v>
      </c>
      <c r="H2022" s="4" t="str">
        <f>IF(AND(A2022="Yes",C2022="School"),COUNTIFS($A$6:A2022,"Yes",$C$6:C2022,"School"),"")</f>
        <v/>
      </c>
    </row>
    <row r="2023" spans="1:8">
      <c r="A2023" s="13"/>
      <c r="B2023" s="1" t="s">
        <v>3984</v>
      </c>
      <c r="C2023" s="1" t="s">
        <v>24</v>
      </c>
      <c r="D2023" s="1" t="s">
        <v>4016</v>
      </c>
      <c r="E2023" s="1" t="s">
        <v>4017</v>
      </c>
      <c r="F2023" s="2">
        <v>807</v>
      </c>
      <c r="G2023" s="3">
        <v>56.1</v>
      </c>
      <c r="H2023" s="4" t="str">
        <f>IF(AND(A2023="Yes",C2023="School"),COUNTIFS($A$6:A2023,"Yes",$C$6:C2023,"School"),"")</f>
        <v/>
      </c>
    </row>
    <row r="2024" spans="1:8">
      <c r="A2024" s="13"/>
      <c r="B2024" s="1" t="s">
        <v>3984</v>
      </c>
      <c r="C2024" s="1" t="s">
        <v>24</v>
      </c>
      <c r="D2024" s="1" t="s">
        <v>4018</v>
      </c>
      <c r="E2024" s="1" t="s">
        <v>4019</v>
      </c>
      <c r="F2024" s="2">
        <v>733</v>
      </c>
      <c r="G2024" s="3">
        <v>52.8</v>
      </c>
      <c r="H2024" s="4" t="str">
        <f>IF(AND(A2024="Yes",C2024="School"),COUNTIFS($A$6:A2024,"Yes",$C$6:C2024,"School"),"")</f>
        <v/>
      </c>
    </row>
    <row r="2025" spans="1:8">
      <c r="A2025" s="13"/>
      <c r="B2025" s="1" t="s">
        <v>3984</v>
      </c>
      <c r="C2025" s="1" t="s">
        <v>24</v>
      </c>
      <c r="D2025" s="1" t="s">
        <v>4020</v>
      </c>
      <c r="E2025" s="1" t="s">
        <v>4021</v>
      </c>
      <c r="F2025" s="2">
        <v>358</v>
      </c>
      <c r="G2025" s="3">
        <v>44.7</v>
      </c>
      <c r="H2025" s="4" t="str">
        <f>IF(AND(A2025="Yes",C2025="School"),COUNTIFS($A$6:A2025,"Yes",$C$6:C2025,"School"),"")</f>
        <v/>
      </c>
    </row>
    <row r="2026" spans="1:8">
      <c r="A2026" s="13"/>
      <c r="B2026" s="1" t="s">
        <v>3984</v>
      </c>
      <c r="C2026" s="1" t="s">
        <v>24</v>
      </c>
      <c r="D2026" s="1" t="s">
        <v>4022</v>
      </c>
      <c r="E2026" s="1" t="s">
        <v>4023</v>
      </c>
      <c r="F2026" s="2">
        <v>320</v>
      </c>
      <c r="G2026" s="3">
        <v>60.6</v>
      </c>
      <c r="H2026" s="4" t="str">
        <f>IF(AND(A2026="Yes",C2026="School"),COUNTIFS($A$6:A2026,"Yes",$C$6:C2026,"School"),"")</f>
        <v/>
      </c>
    </row>
    <row r="2027" spans="1:8">
      <c r="A2027" s="13"/>
      <c r="B2027" s="1" t="s">
        <v>3984</v>
      </c>
      <c r="C2027" s="1" t="s">
        <v>24</v>
      </c>
      <c r="D2027" s="1" t="s">
        <v>4024</v>
      </c>
      <c r="E2027" s="1" t="s">
        <v>4025</v>
      </c>
      <c r="F2027" s="2">
        <v>465</v>
      </c>
      <c r="G2027" s="3">
        <v>58.9</v>
      </c>
      <c r="H2027" s="4" t="str">
        <f>IF(AND(A2027="Yes",C2027="School"),COUNTIFS($A$6:A2027,"Yes",$C$6:C2027,"School"),"")</f>
        <v/>
      </c>
    </row>
    <row r="2028" spans="1:8">
      <c r="A2028" s="13"/>
      <c r="B2028" s="1" t="s">
        <v>3984</v>
      </c>
      <c r="C2028" s="1" t="s">
        <v>24</v>
      </c>
      <c r="D2028" s="1" t="s">
        <v>4026</v>
      </c>
      <c r="E2028" s="1" t="s">
        <v>4027</v>
      </c>
      <c r="F2028" s="2">
        <v>540</v>
      </c>
      <c r="G2028" s="3">
        <v>51.5</v>
      </c>
      <c r="H2028" s="4" t="str">
        <f>IF(AND(A2028="Yes",C2028="School"),COUNTIFS($A$6:A2028,"Yes",$C$6:C2028,"School"),"")</f>
        <v/>
      </c>
    </row>
    <row r="2029" spans="1:8">
      <c r="A2029" s="13"/>
      <c r="B2029" s="1" t="s">
        <v>3984</v>
      </c>
      <c r="C2029" s="1" t="s">
        <v>24</v>
      </c>
      <c r="D2029" s="1" t="s">
        <v>4028</v>
      </c>
      <c r="E2029" s="1" t="s">
        <v>4029</v>
      </c>
      <c r="F2029" s="2">
        <v>681</v>
      </c>
      <c r="G2029" s="3">
        <v>53.2</v>
      </c>
      <c r="H2029" s="4" t="str">
        <f>IF(AND(A2029="Yes",C2029="School"),COUNTIFS($A$6:A2029,"Yes",$C$6:C2029,"School"),"")</f>
        <v/>
      </c>
    </row>
    <row r="2030" spans="1:8">
      <c r="A2030" s="13"/>
      <c r="B2030" s="1" t="s">
        <v>3984</v>
      </c>
      <c r="C2030" s="1" t="s">
        <v>24</v>
      </c>
      <c r="D2030" s="1" t="s">
        <v>4030</v>
      </c>
      <c r="E2030" s="1" t="s">
        <v>4031</v>
      </c>
      <c r="F2030" s="2">
        <v>457</v>
      </c>
      <c r="G2030" s="3">
        <v>47.7</v>
      </c>
      <c r="H2030" s="4" t="str">
        <f>IF(AND(A2030="Yes",C2030="School"),COUNTIFS($A$6:A2030,"Yes",$C$6:C2030,"School"),"")</f>
        <v/>
      </c>
    </row>
    <row r="2031" spans="1:8">
      <c r="A2031" s="13"/>
      <c r="B2031" s="1" t="s">
        <v>3984</v>
      </c>
      <c r="C2031" s="1" t="s">
        <v>24</v>
      </c>
      <c r="D2031" s="1" t="s">
        <v>4032</v>
      </c>
      <c r="E2031" s="1" t="s">
        <v>4033</v>
      </c>
      <c r="F2031" s="2">
        <v>310</v>
      </c>
      <c r="G2031" s="3">
        <v>67.099999999999994</v>
      </c>
      <c r="H2031" s="4" t="str">
        <f>IF(AND(A2031="Yes",C2031="School"),COUNTIFS($A$6:A2031,"Yes",$C$6:C2031,"School"),"")</f>
        <v/>
      </c>
    </row>
    <row r="2032" spans="1:8">
      <c r="A2032" s="13"/>
      <c r="B2032" s="1" t="s">
        <v>3984</v>
      </c>
      <c r="C2032" s="1" t="s">
        <v>24</v>
      </c>
      <c r="D2032" s="1" t="s">
        <v>4034</v>
      </c>
      <c r="E2032" s="1" t="s">
        <v>4035</v>
      </c>
      <c r="F2032" s="2">
        <v>377</v>
      </c>
      <c r="G2032" s="3">
        <v>53.3</v>
      </c>
      <c r="H2032" s="4" t="str">
        <f>IF(AND(A2032="Yes",C2032="School"),COUNTIFS($A$6:A2032,"Yes",$C$6:C2032,"School"),"")</f>
        <v/>
      </c>
    </row>
    <row r="2033" spans="1:8">
      <c r="A2033" s="13"/>
      <c r="B2033" s="1" t="s">
        <v>3984</v>
      </c>
      <c r="C2033" s="1" t="s">
        <v>24</v>
      </c>
      <c r="D2033" s="1" t="s">
        <v>4036</v>
      </c>
      <c r="E2033" s="1" t="s">
        <v>4037</v>
      </c>
      <c r="F2033" s="2">
        <v>458</v>
      </c>
      <c r="G2033" s="3">
        <v>53.3</v>
      </c>
      <c r="H2033" s="4" t="str">
        <f>IF(AND(A2033="Yes",C2033="School"),COUNTIFS($A$6:A2033,"Yes",$C$6:C2033,"School"),"")</f>
        <v/>
      </c>
    </row>
    <row r="2034" spans="1:8">
      <c r="A2034" s="13"/>
      <c r="B2034" s="1" t="s">
        <v>3984</v>
      </c>
      <c r="C2034" s="1" t="s">
        <v>24</v>
      </c>
      <c r="D2034" s="1" t="s">
        <v>4038</v>
      </c>
      <c r="E2034" s="1" t="s">
        <v>4039</v>
      </c>
      <c r="F2034" s="2">
        <v>630</v>
      </c>
      <c r="G2034" s="3">
        <v>53</v>
      </c>
      <c r="H2034" s="4" t="str">
        <f>IF(AND(A2034="Yes",C2034="School"),COUNTIFS($A$6:A2034,"Yes",$C$6:C2034,"School"),"")</f>
        <v/>
      </c>
    </row>
    <row r="2035" spans="1:8">
      <c r="A2035" s="13"/>
      <c r="B2035" s="1" t="s">
        <v>3984</v>
      </c>
      <c r="C2035" s="1" t="s">
        <v>24</v>
      </c>
      <c r="D2035" s="1" t="s">
        <v>4040</v>
      </c>
      <c r="E2035" s="1" t="s">
        <v>4041</v>
      </c>
      <c r="F2035" s="2">
        <v>564</v>
      </c>
      <c r="G2035" s="3">
        <v>53.7</v>
      </c>
      <c r="H2035" s="4" t="str">
        <f>IF(AND(A2035="Yes",C2035="School"),COUNTIFS($A$6:A2035,"Yes",$C$6:C2035,"School"),"")</f>
        <v/>
      </c>
    </row>
    <row r="2036" spans="1:8">
      <c r="A2036" s="13"/>
      <c r="B2036" s="1" t="s">
        <v>3984</v>
      </c>
      <c r="C2036" s="1" t="s">
        <v>24</v>
      </c>
      <c r="D2036" s="1" t="s">
        <v>4042</v>
      </c>
      <c r="E2036" s="1" t="s">
        <v>4043</v>
      </c>
      <c r="F2036" s="2">
        <v>353</v>
      </c>
      <c r="G2036" s="3">
        <v>52.7</v>
      </c>
      <c r="H2036" s="4" t="str">
        <f>IF(AND(A2036="Yes",C2036="School"),COUNTIFS($A$6:A2036,"Yes",$C$6:C2036,"School"),"")</f>
        <v/>
      </c>
    </row>
    <row r="2037" spans="1:8">
      <c r="A2037" s="13"/>
      <c r="B2037" s="1" t="s">
        <v>3984</v>
      </c>
      <c r="C2037" s="1" t="s">
        <v>24</v>
      </c>
      <c r="D2037" s="1" t="s">
        <v>4044</v>
      </c>
      <c r="E2037" s="1" t="s">
        <v>4045</v>
      </c>
      <c r="F2037" s="2">
        <v>645</v>
      </c>
      <c r="G2037" s="3">
        <v>47.8</v>
      </c>
      <c r="H2037" s="4" t="str">
        <f>IF(AND(A2037="Yes",C2037="School"),COUNTIFS($A$6:A2037,"Yes",$C$6:C2037,"School"),"")</f>
        <v/>
      </c>
    </row>
    <row r="2038" spans="1:8">
      <c r="A2038" s="13"/>
      <c r="B2038" s="1" t="s">
        <v>3984</v>
      </c>
      <c r="C2038" s="1" t="s">
        <v>24</v>
      </c>
      <c r="D2038" s="1" t="s">
        <v>4046</v>
      </c>
      <c r="E2038" s="1" t="s">
        <v>4047</v>
      </c>
      <c r="F2038" s="2">
        <v>552</v>
      </c>
      <c r="G2038" s="3">
        <v>42.2</v>
      </c>
      <c r="H2038" s="4" t="str">
        <f>IF(AND(A2038="Yes",C2038="School"),COUNTIFS($A$6:A2038,"Yes",$C$6:C2038,"School"),"")</f>
        <v/>
      </c>
    </row>
    <row r="2039" spans="1:8">
      <c r="A2039" s="13"/>
      <c r="B2039" s="1" t="s">
        <v>4048</v>
      </c>
      <c r="C2039" s="1" t="s">
        <v>24</v>
      </c>
      <c r="D2039" s="1" t="s">
        <v>4048</v>
      </c>
      <c r="E2039" s="1" t="s">
        <v>4049</v>
      </c>
      <c r="F2039" s="2">
        <v>424</v>
      </c>
      <c r="G2039" s="3">
        <v>88.9</v>
      </c>
      <c r="H2039" s="4" t="str">
        <f>IF(AND(A2039="Yes",C2039="School"),COUNTIFS($A$6:A2039,"Yes",$C$6:C2039,"School"),"")</f>
        <v/>
      </c>
    </row>
    <row r="2040" spans="1:8">
      <c r="A2040" s="13"/>
      <c r="B2040" s="1" t="s">
        <v>4050</v>
      </c>
      <c r="C2040" s="1" t="s">
        <v>24</v>
      </c>
      <c r="D2040" s="1" t="s">
        <v>4050</v>
      </c>
      <c r="E2040" s="1" t="s">
        <v>4051</v>
      </c>
      <c r="F2040" s="2">
        <v>661</v>
      </c>
      <c r="G2040" s="3">
        <v>77.599999999999994</v>
      </c>
      <c r="H2040" s="4" t="str">
        <f>IF(AND(A2040="Yes",C2040="School"),COUNTIFS($A$6:A2040,"Yes",$C$6:C2040,"School"),"")</f>
        <v/>
      </c>
    </row>
    <row r="2041" spans="1:8">
      <c r="A2041" s="13"/>
      <c r="B2041" s="1" t="s">
        <v>4052</v>
      </c>
      <c r="C2041" s="1" t="s">
        <v>24</v>
      </c>
      <c r="D2041" s="1" t="s">
        <v>4052</v>
      </c>
      <c r="E2041" s="1" t="s">
        <v>4053</v>
      </c>
      <c r="F2041" s="2">
        <v>559</v>
      </c>
      <c r="G2041" s="3">
        <v>16.5</v>
      </c>
      <c r="H2041" s="4" t="str">
        <f>IF(AND(A2041="Yes",C2041="School"),COUNTIFS($A$6:A2041,"Yes",$C$6:C2041,"School"),"")</f>
        <v/>
      </c>
    </row>
    <row r="2042" spans="1:8">
      <c r="A2042" s="13"/>
      <c r="B2042" s="1" t="s">
        <v>4054</v>
      </c>
      <c r="C2042" s="1" t="s">
        <v>24</v>
      </c>
      <c r="D2042" s="1" t="s">
        <v>4054</v>
      </c>
      <c r="E2042" s="1" t="s">
        <v>4055</v>
      </c>
      <c r="F2042" s="2">
        <v>1031</v>
      </c>
      <c r="G2042" s="3">
        <v>13.1</v>
      </c>
      <c r="H2042" s="4" t="str">
        <f>IF(AND(A2042="Yes",C2042="School"),COUNTIFS($A$6:A2042,"Yes",$C$6:C2042,"School"),"")</f>
        <v/>
      </c>
    </row>
    <row r="2043" spans="1:8">
      <c r="A2043" s="13"/>
      <c r="B2043" s="1" t="s">
        <v>4056</v>
      </c>
      <c r="C2043" s="1" t="s">
        <v>40</v>
      </c>
      <c r="D2043" s="1" t="s">
        <v>41</v>
      </c>
      <c r="E2043" s="1" t="s">
        <v>4057</v>
      </c>
      <c r="F2043" s="2">
        <v>6317</v>
      </c>
      <c r="G2043" s="3">
        <v>69.5</v>
      </c>
      <c r="H2043" s="4" t="str">
        <f>IF(AND(A2043="Yes",C2043="School"),COUNTIFS($A$6:A2043,"Yes",$C$6:C2043,"School"),"")</f>
        <v/>
      </c>
    </row>
    <row r="2044" spans="1:8">
      <c r="A2044" s="13"/>
      <c r="B2044" s="1" t="s">
        <v>4056</v>
      </c>
      <c r="C2044" s="1" t="s">
        <v>24</v>
      </c>
      <c r="D2044" s="1" t="s">
        <v>4058</v>
      </c>
      <c r="E2044" s="1" t="s">
        <v>4059</v>
      </c>
      <c r="F2044" s="2">
        <v>58</v>
      </c>
      <c r="G2044" s="3">
        <v>93.1</v>
      </c>
      <c r="H2044" s="4" t="str">
        <f>IF(AND(A2044="Yes",C2044="School"),COUNTIFS($A$6:A2044,"Yes",$C$6:C2044,"School"),"")</f>
        <v/>
      </c>
    </row>
    <row r="2045" spans="1:8">
      <c r="A2045" s="13"/>
      <c r="B2045" s="1" t="s">
        <v>4056</v>
      </c>
      <c r="C2045" s="1" t="s">
        <v>24</v>
      </c>
      <c r="D2045" s="1" t="s">
        <v>4060</v>
      </c>
      <c r="E2045" s="1" t="s">
        <v>4061</v>
      </c>
      <c r="F2045" s="2">
        <v>237</v>
      </c>
      <c r="G2045" s="3">
        <v>70.900000000000006</v>
      </c>
      <c r="H2045" s="4" t="str">
        <f>IF(AND(A2045="Yes",C2045="School"),COUNTIFS($A$6:A2045,"Yes",$C$6:C2045,"School"),"")</f>
        <v/>
      </c>
    </row>
    <row r="2046" spans="1:8">
      <c r="A2046" s="13"/>
      <c r="B2046" s="1" t="s">
        <v>4056</v>
      </c>
      <c r="C2046" s="1" t="s">
        <v>24</v>
      </c>
      <c r="D2046" s="1" t="s">
        <v>4062</v>
      </c>
      <c r="E2046" s="1" t="s">
        <v>4063</v>
      </c>
      <c r="F2046" s="2">
        <v>476</v>
      </c>
      <c r="G2046" s="3">
        <v>79.8</v>
      </c>
      <c r="H2046" s="4" t="str">
        <f>IF(AND(A2046="Yes",C2046="School"),COUNTIFS($A$6:A2046,"Yes",$C$6:C2046,"School"),"")</f>
        <v/>
      </c>
    </row>
    <row r="2047" spans="1:8">
      <c r="A2047" s="13"/>
      <c r="B2047" s="1" t="s">
        <v>4056</v>
      </c>
      <c r="C2047" s="1" t="s">
        <v>24</v>
      </c>
      <c r="D2047" s="1" t="s">
        <v>4064</v>
      </c>
      <c r="E2047" s="1" t="s">
        <v>4065</v>
      </c>
      <c r="F2047" s="2">
        <v>192</v>
      </c>
      <c r="G2047" s="3">
        <v>58.9</v>
      </c>
      <c r="H2047" s="4" t="str">
        <f>IF(AND(A2047="Yes",C2047="School"),COUNTIFS($A$6:A2047,"Yes",$C$6:C2047,"School"),"")</f>
        <v/>
      </c>
    </row>
    <row r="2048" spans="1:8">
      <c r="A2048" s="13"/>
      <c r="B2048" s="1" t="s">
        <v>4056</v>
      </c>
      <c r="C2048" s="1" t="s">
        <v>24</v>
      </c>
      <c r="D2048" s="1" t="s">
        <v>4066</v>
      </c>
      <c r="E2048" s="1" t="s">
        <v>4067</v>
      </c>
      <c r="F2048" s="2">
        <v>463</v>
      </c>
      <c r="G2048" s="3">
        <v>74.3</v>
      </c>
      <c r="H2048" s="4" t="str">
        <f>IF(AND(A2048="Yes",C2048="School"),COUNTIFS($A$6:A2048,"Yes",$C$6:C2048,"School"),"")</f>
        <v/>
      </c>
    </row>
    <row r="2049" spans="1:8">
      <c r="A2049" s="13"/>
      <c r="B2049" s="1" t="s">
        <v>4056</v>
      </c>
      <c r="C2049" s="1" t="s">
        <v>24</v>
      </c>
      <c r="D2049" s="1" t="s">
        <v>4068</v>
      </c>
      <c r="E2049" s="1" t="s">
        <v>4069</v>
      </c>
      <c r="F2049" s="2">
        <v>420</v>
      </c>
      <c r="G2049" s="3">
        <v>70.2</v>
      </c>
      <c r="H2049" s="4" t="str">
        <f>IF(AND(A2049="Yes",C2049="School"),COUNTIFS($A$6:A2049,"Yes",$C$6:C2049,"School"),"")</f>
        <v/>
      </c>
    </row>
    <row r="2050" spans="1:8">
      <c r="A2050" s="13"/>
      <c r="B2050" s="1" t="s">
        <v>4056</v>
      </c>
      <c r="C2050" s="1" t="s">
        <v>24</v>
      </c>
      <c r="D2050" s="1" t="s">
        <v>4070</v>
      </c>
      <c r="E2050" s="1" t="s">
        <v>4071</v>
      </c>
      <c r="F2050" s="2">
        <v>453</v>
      </c>
      <c r="G2050" s="3">
        <v>66.7</v>
      </c>
      <c r="H2050" s="4" t="str">
        <f>IF(AND(A2050="Yes",C2050="School"),COUNTIFS($A$6:A2050,"Yes",$C$6:C2050,"School"),"")</f>
        <v/>
      </c>
    </row>
    <row r="2051" spans="1:8">
      <c r="A2051" s="13"/>
      <c r="B2051" s="1" t="s">
        <v>4056</v>
      </c>
      <c r="C2051" s="1" t="s">
        <v>24</v>
      </c>
      <c r="D2051" s="1" t="s">
        <v>4072</v>
      </c>
      <c r="E2051" s="1" t="s">
        <v>4073</v>
      </c>
      <c r="F2051" s="2">
        <v>412</v>
      </c>
      <c r="G2051" s="3">
        <v>72.3</v>
      </c>
      <c r="H2051" s="4" t="str">
        <f>IF(AND(A2051="Yes",C2051="School"),COUNTIFS($A$6:A2051,"Yes",$C$6:C2051,"School"),"")</f>
        <v/>
      </c>
    </row>
    <row r="2052" spans="1:8">
      <c r="A2052" s="13"/>
      <c r="B2052" s="1" t="s">
        <v>4056</v>
      </c>
      <c r="C2052" s="1" t="s">
        <v>24</v>
      </c>
      <c r="D2052" s="1" t="s">
        <v>4074</v>
      </c>
      <c r="E2052" s="1" t="s">
        <v>4075</v>
      </c>
      <c r="F2052" s="2">
        <v>385</v>
      </c>
      <c r="G2052" s="3">
        <v>82.1</v>
      </c>
      <c r="H2052" s="4" t="str">
        <f>IF(AND(A2052="Yes",C2052="School"),COUNTIFS($A$6:A2052,"Yes",$C$6:C2052,"School"),"")</f>
        <v/>
      </c>
    </row>
    <row r="2053" spans="1:8">
      <c r="A2053" s="13"/>
      <c r="B2053" s="1" t="s">
        <v>4056</v>
      </c>
      <c r="C2053" s="1" t="s">
        <v>24</v>
      </c>
      <c r="D2053" s="1" t="s">
        <v>4076</v>
      </c>
      <c r="E2053" s="1" t="s">
        <v>4077</v>
      </c>
      <c r="F2053" s="2">
        <v>281</v>
      </c>
      <c r="G2053" s="3">
        <v>37</v>
      </c>
      <c r="H2053" s="4" t="str">
        <f>IF(AND(A2053="Yes",C2053="School"),COUNTIFS($A$6:A2053,"Yes",$C$6:C2053,"School"),"")</f>
        <v/>
      </c>
    </row>
    <row r="2054" spans="1:8">
      <c r="A2054" s="13"/>
      <c r="B2054" s="1" t="s">
        <v>4056</v>
      </c>
      <c r="C2054" s="1" t="s">
        <v>24</v>
      </c>
      <c r="D2054" s="1" t="s">
        <v>4078</v>
      </c>
      <c r="E2054" s="1" t="s">
        <v>4079</v>
      </c>
      <c r="F2054" s="2">
        <v>1646</v>
      </c>
      <c r="G2054" s="3">
        <v>64</v>
      </c>
      <c r="H2054" s="4" t="str">
        <f>IF(AND(A2054="Yes",C2054="School"),COUNTIFS($A$6:A2054,"Yes",$C$6:C2054,"School"),"")</f>
        <v/>
      </c>
    </row>
    <row r="2055" spans="1:8">
      <c r="A2055" s="13"/>
      <c r="B2055" s="1" t="s">
        <v>4056</v>
      </c>
      <c r="C2055" s="1" t="s">
        <v>24</v>
      </c>
      <c r="D2055" s="1" t="s">
        <v>4080</v>
      </c>
      <c r="E2055" s="1" t="s">
        <v>4081</v>
      </c>
      <c r="F2055" s="2">
        <v>570</v>
      </c>
      <c r="G2055" s="3">
        <v>66.8</v>
      </c>
      <c r="H2055" s="4" t="str">
        <f>IF(AND(A2055="Yes",C2055="School"),COUNTIFS($A$6:A2055,"Yes",$C$6:C2055,"School"),"")</f>
        <v/>
      </c>
    </row>
    <row r="2056" spans="1:8">
      <c r="A2056" s="13"/>
      <c r="B2056" s="1" t="s">
        <v>4056</v>
      </c>
      <c r="C2056" s="1" t="s">
        <v>24</v>
      </c>
      <c r="D2056" s="1" t="s">
        <v>4082</v>
      </c>
      <c r="E2056" s="1" t="s">
        <v>4083</v>
      </c>
      <c r="F2056" s="2">
        <v>429</v>
      </c>
      <c r="G2056" s="3">
        <v>79.3</v>
      </c>
      <c r="H2056" s="4" t="str">
        <f>IF(AND(A2056="Yes",C2056="School"),COUNTIFS($A$6:A2056,"Yes",$C$6:C2056,"School"),"")</f>
        <v/>
      </c>
    </row>
    <row r="2057" spans="1:8">
      <c r="A2057" s="13"/>
      <c r="B2057" s="1" t="s">
        <v>4056</v>
      </c>
      <c r="C2057" s="1" t="s">
        <v>24</v>
      </c>
      <c r="D2057" s="1" t="s">
        <v>4084</v>
      </c>
      <c r="E2057" s="1" t="s">
        <v>4085</v>
      </c>
      <c r="F2057" s="2">
        <v>295</v>
      </c>
      <c r="G2057" s="3">
        <v>82.4</v>
      </c>
      <c r="H2057" s="4" t="str">
        <f>IF(AND(A2057="Yes",C2057="School"),COUNTIFS($A$6:A2057,"Yes",$C$6:C2057,"School"),"")</f>
        <v/>
      </c>
    </row>
    <row r="2058" spans="1:8">
      <c r="A2058" s="13"/>
      <c r="B2058" s="1" t="s">
        <v>4086</v>
      </c>
      <c r="C2058" s="1" t="s">
        <v>24</v>
      </c>
      <c r="D2058" s="1" t="s">
        <v>4086</v>
      </c>
      <c r="E2058" s="1" t="s">
        <v>4087</v>
      </c>
      <c r="F2058" s="2">
        <v>478</v>
      </c>
      <c r="G2058" s="3">
        <v>69.900000000000006</v>
      </c>
      <c r="H2058" s="4" t="str">
        <f>IF(AND(A2058="Yes",C2058="School"),COUNTIFS($A$6:A2058,"Yes",$C$6:C2058,"School"),"")</f>
        <v/>
      </c>
    </row>
    <row r="2059" spans="1:8">
      <c r="A2059" s="13"/>
      <c r="B2059" s="1" t="s">
        <v>4088</v>
      </c>
      <c r="C2059" s="1" t="s">
        <v>24</v>
      </c>
      <c r="D2059" s="1" t="s">
        <v>4088</v>
      </c>
      <c r="E2059" s="1" t="s">
        <v>4089</v>
      </c>
      <c r="F2059" s="2">
        <v>225</v>
      </c>
      <c r="G2059" s="3">
        <v>48.4</v>
      </c>
      <c r="H2059" s="4" t="str">
        <f>IF(AND(A2059="Yes",C2059="School"),COUNTIFS($A$6:A2059,"Yes",$C$6:C2059,"School"),"")</f>
        <v/>
      </c>
    </row>
    <row r="2060" spans="1:8">
      <c r="A2060" s="13"/>
      <c r="B2060" s="1" t="s">
        <v>4090</v>
      </c>
      <c r="C2060" s="1" t="s">
        <v>24</v>
      </c>
      <c r="D2060" s="1" t="s">
        <v>4090</v>
      </c>
      <c r="E2060" s="1" t="s">
        <v>4091</v>
      </c>
      <c r="F2060" s="2">
        <v>763</v>
      </c>
      <c r="G2060" s="3">
        <v>33.700000000000003</v>
      </c>
      <c r="H2060" s="4" t="str">
        <f>IF(AND(A2060="Yes",C2060="School"),COUNTIFS($A$6:A2060,"Yes",$C$6:C2060,"School"),"")</f>
        <v/>
      </c>
    </row>
    <row r="2061" spans="1:8">
      <c r="A2061" s="13"/>
      <c r="B2061" s="1" t="s">
        <v>4092</v>
      </c>
      <c r="C2061" s="1" t="s">
        <v>24</v>
      </c>
      <c r="D2061" s="1" t="s">
        <v>4092</v>
      </c>
      <c r="E2061" s="1" t="s">
        <v>4093</v>
      </c>
      <c r="F2061" s="2">
        <v>453</v>
      </c>
      <c r="G2061" s="3">
        <v>33.299999999999997</v>
      </c>
      <c r="H2061" s="4" t="str">
        <f>IF(AND(A2061="Yes",C2061="School"),COUNTIFS($A$6:A2061,"Yes",$C$6:C2061,"School"),"")</f>
        <v/>
      </c>
    </row>
    <row r="2062" spans="1:8">
      <c r="A2062" s="13"/>
      <c r="B2062" s="1" t="s">
        <v>4094</v>
      </c>
      <c r="C2062" s="1" t="s">
        <v>40</v>
      </c>
      <c r="D2062" s="1" t="s">
        <v>41</v>
      </c>
      <c r="E2062" s="1" t="s">
        <v>4095</v>
      </c>
      <c r="F2062" s="2">
        <v>2539</v>
      </c>
      <c r="G2062" s="3">
        <v>62.5</v>
      </c>
      <c r="H2062" s="4" t="str">
        <f>IF(AND(A2062="Yes",C2062="School"),COUNTIFS($A$6:A2062,"Yes",$C$6:C2062,"School"),"")</f>
        <v/>
      </c>
    </row>
    <row r="2063" spans="1:8">
      <c r="A2063" s="13"/>
      <c r="B2063" s="1" t="s">
        <v>4094</v>
      </c>
      <c r="C2063" s="1" t="s">
        <v>24</v>
      </c>
      <c r="D2063" s="1" t="s">
        <v>4096</v>
      </c>
      <c r="E2063" s="1" t="s">
        <v>4097</v>
      </c>
      <c r="F2063" s="2">
        <v>577</v>
      </c>
      <c r="G2063" s="3">
        <v>73.8</v>
      </c>
      <c r="H2063" s="4" t="str">
        <f>IF(AND(A2063="Yes",C2063="School"),COUNTIFS($A$6:A2063,"Yes",$C$6:C2063,"School"),"")</f>
        <v/>
      </c>
    </row>
    <row r="2064" spans="1:8">
      <c r="A2064" s="13"/>
      <c r="B2064" s="1" t="s">
        <v>4094</v>
      </c>
      <c r="C2064" s="1" t="s">
        <v>24</v>
      </c>
      <c r="D2064" s="1" t="s">
        <v>4098</v>
      </c>
      <c r="E2064" s="1" t="s">
        <v>4099</v>
      </c>
      <c r="F2064" s="2">
        <v>530</v>
      </c>
      <c r="G2064" s="3">
        <v>60.4</v>
      </c>
      <c r="H2064" s="4" t="str">
        <f>IF(AND(A2064="Yes",C2064="School"),COUNTIFS($A$6:A2064,"Yes",$C$6:C2064,"School"),"")</f>
        <v/>
      </c>
    </row>
    <row r="2065" spans="1:8">
      <c r="A2065" s="13"/>
      <c r="B2065" s="1" t="s">
        <v>4094</v>
      </c>
      <c r="C2065" s="1" t="s">
        <v>24</v>
      </c>
      <c r="D2065" s="1" t="s">
        <v>4100</v>
      </c>
      <c r="E2065" s="1" t="s">
        <v>4101</v>
      </c>
      <c r="F2065" s="2">
        <v>640</v>
      </c>
      <c r="G2065" s="3">
        <v>60.9</v>
      </c>
      <c r="H2065" s="4" t="str">
        <f>IF(AND(A2065="Yes",C2065="School"),COUNTIFS($A$6:A2065,"Yes",$C$6:C2065,"School"),"")</f>
        <v/>
      </c>
    </row>
    <row r="2066" spans="1:8">
      <c r="A2066" s="13"/>
      <c r="B2066" s="1" t="s">
        <v>4094</v>
      </c>
      <c r="C2066" s="1" t="s">
        <v>24</v>
      </c>
      <c r="D2066" s="1" t="s">
        <v>4102</v>
      </c>
      <c r="E2066" s="1" t="s">
        <v>4103</v>
      </c>
      <c r="F2066" s="2">
        <v>119</v>
      </c>
      <c r="G2066" s="3">
        <v>40.299999999999997</v>
      </c>
      <c r="H2066" s="4" t="str">
        <f>IF(AND(A2066="Yes",C2066="School"),COUNTIFS($A$6:A2066,"Yes",$C$6:C2066,"School"),"")</f>
        <v/>
      </c>
    </row>
    <row r="2067" spans="1:8">
      <c r="A2067" s="13"/>
      <c r="B2067" s="1" t="s">
        <v>4094</v>
      </c>
      <c r="C2067" s="1" t="s">
        <v>24</v>
      </c>
      <c r="D2067" s="1" t="s">
        <v>4104</v>
      </c>
      <c r="E2067" s="1" t="s">
        <v>4105</v>
      </c>
      <c r="F2067" s="2">
        <v>673</v>
      </c>
      <c r="G2067" s="3">
        <v>59.7</v>
      </c>
      <c r="H2067" s="4" t="str">
        <f>IF(AND(A2067="Yes",C2067="School"),COUNTIFS($A$6:A2067,"Yes",$C$6:C2067,"School"),"")</f>
        <v/>
      </c>
    </row>
    <row r="2068" spans="1:8">
      <c r="A2068" s="13"/>
      <c r="B2068" s="1" t="s">
        <v>4106</v>
      </c>
      <c r="C2068" s="1" t="s">
        <v>40</v>
      </c>
      <c r="D2068" s="1" t="s">
        <v>41</v>
      </c>
      <c r="E2068" s="1" t="s">
        <v>4107</v>
      </c>
      <c r="F2068" s="2">
        <v>10924</v>
      </c>
      <c r="G2068" s="3">
        <v>59.4</v>
      </c>
      <c r="H2068" s="4" t="str">
        <f>IF(AND(A2068="Yes",C2068="School"),COUNTIFS($A$6:A2068,"Yes",$C$6:C2068,"School"),"")</f>
        <v/>
      </c>
    </row>
    <row r="2069" spans="1:8">
      <c r="A2069" s="13"/>
      <c r="B2069" s="1" t="s">
        <v>4106</v>
      </c>
      <c r="C2069" s="1" t="s">
        <v>24</v>
      </c>
      <c r="D2069" s="1" t="s">
        <v>4108</v>
      </c>
      <c r="E2069" s="1" t="s">
        <v>4109</v>
      </c>
      <c r="F2069" s="2">
        <v>464</v>
      </c>
      <c r="G2069" s="3">
        <v>35.299999999999997</v>
      </c>
      <c r="H2069" s="4" t="str">
        <f>IF(AND(A2069="Yes",C2069="School"),COUNTIFS($A$6:A2069,"Yes",$C$6:C2069,"School"),"")</f>
        <v/>
      </c>
    </row>
    <row r="2070" spans="1:8">
      <c r="A2070" s="13"/>
      <c r="B2070" s="1" t="s">
        <v>4106</v>
      </c>
      <c r="C2070" s="1" t="s">
        <v>24</v>
      </c>
      <c r="D2070" s="1" t="s">
        <v>1670</v>
      </c>
      <c r="E2070" s="1" t="s">
        <v>4110</v>
      </c>
      <c r="F2070" s="2">
        <v>480</v>
      </c>
      <c r="G2070" s="3">
        <v>72.3</v>
      </c>
      <c r="H2070" s="4" t="str">
        <f>IF(AND(A2070="Yes",C2070="School"),COUNTIFS($A$6:A2070,"Yes",$C$6:C2070,"School"),"")</f>
        <v/>
      </c>
    </row>
    <row r="2071" spans="1:8">
      <c r="A2071" s="13"/>
      <c r="B2071" s="1" t="s">
        <v>4106</v>
      </c>
      <c r="C2071" s="1" t="s">
        <v>24</v>
      </c>
      <c r="D2071" s="1" t="s">
        <v>4111</v>
      </c>
      <c r="E2071" s="1" t="s">
        <v>4112</v>
      </c>
      <c r="F2071" s="2">
        <v>37</v>
      </c>
      <c r="G2071" s="3">
        <v>83.8</v>
      </c>
      <c r="H2071" s="4" t="str">
        <f>IF(AND(A2071="Yes",C2071="School"),COUNTIFS($A$6:A2071,"Yes",$C$6:C2071,"School"),"")</f>
        <v/>
      </c>
    </row>
    <row r="2072" spans="1:8">
      <c r="A2072" s="13"/>
      <c r="B2072" s="1" t="s">
        <v>4106</v>
      </c>
      <c r="C2072" s="1" t="s">
        <v>24</v>
      </c>
      <c r="D2072" s="1" t="s">
        <v>4113</v>
      </c>
      <c r="E2072" s="1" t="s">
        <v>4114</v>
      </c>
      <c r="F2072" s="2">
        <v>646</v>
      </c>
      <c r="G2072" s="3">
        <v>48.9</v>
      </c>
      <c r="H2072" s="4" t="str">
        <f>IF(AND(A2072="Yes",C2072="School"),COUNTIFS($A$6:A2072,"Yes",$C$6:C2072,"School"),"")</f>
        <v/>
      </c>
    </row>
    <row r="2073" spans="1:8">
      <c r="A2073" s="13"/>
      <c r="B2073" s="1" t="s">
        <v>4106</v>
      </c>
      <c r="C2073" s="1" t="s">
        <v>24</v>
      </c>
      <c r="D2073" s="1" t="s">
        <v>4115</v>
      </c>
      <c r="E2073" s="1" t="s">
        <v>4116</v>
      </c>
      <c r="F2073" s="2">
        <v>354</v>
      </c>
      <c r="G2073" s="3">
        <v>75.099999999999994</v>
      </c>
      <c r="H2073" s="4" t="str">
        <f>IF(AND(A2073="Yes",C2073="School"),COUNTIFS($A$6:A2073,"Yes",$C$6:C2073,"School"),"")</f>
        <v/>
      </c>
    </row>
    <row r="2074" spans="1:8">
      <c r="A2074" s="13"/>
      <c r="B2074" s="1" t="s">
        <v>4106</v>
      </c>
      <c r="C2074" s="1" t="s">
        <v>24</v>
      </c>
      <c r="D2074" s="1" t="s">
        <v>4117</v>
      </c>
      <c r="E2074" s="1" t="s">
        <v>4118</v>
      </c>
      <c r="F2074" s="2">
        <v>399</v>
      </c>
      <c r="G2074" s="3">
        <v>55.4</v>
      </c>
      <c r="H2074" s="4" t="str">
        <f>IF(AND(A2074="Yes",C2074="School"),COUNTIFS($A$6:A2074,"Yes",$C$6:C2074,"School"),"")</f>
        <v/>
      </c>
    </row>
    <row r="2075" spans="1:8">
      <c r="A2075" s="13"/>
      <c r="B2075" s="1" t="s">
        <v>4106</v>
      </c>
      <c r="C2075" s="1" t="s">
        <v>24</v>
      </c>
      <c r="D2075" s="1" t="s">
        <v>4119</v>
      </c>
      <c r="E2075" s="1" t="s">
        <v>4120</v>
      </c>
      <c r="F2075" s="2">
        <v>626</v>
      </c>
      <c r="G2075" s="3">
        <v>65.5</v>
      </c>
      <c r="H2075" s="4" t="str">
        <f>IF(AND(A2075="Yes",C2075="School"),COUNTIFS($A$6:A2075,"Yes",$C$6:C2075,"School"),"")</f>
        <v/>
      </c>
    </row>
    <row r="2076" spans="1:8">
      <c r="A2076" s="13"/>
      <c r="B2076" s="1" t="s">
        <v>4106</v>
      </c>
      <c r="C2076" s="1" t="s">
        <v>24</v>
      </c>
      <c r="D2076" s="1" t="s">
        <v>4121</v>
      </c>
      <c r="E2076" s="1" t="s">
        <v>4122</v>
      </c>
      <c r="F2076" s="2">
        <v>687</v>
      </c>
      <c r="G2076" s="3">
        <v>62.9</v>
      </c>
      <c r="H2076" s="4" t="str">
        <f>IF(AND(A2076="Yes",C2076="School"),COUNTIFS($A$6:A2076,"Yes",$C$6:C2076,"School"),"")</f>
        <v/>
      </c>
    </row>
    <row r="2077" spans="1:8">
      <c r="A2077" s="13"/>
      <c r="B2077" s="1" t="s">
        <v>4106</v>
      </c>
      <c r="C2077" s="1" t="s">
        <v>24</v>
      </c>
      <c r="D2077" s="1" t="s">
        <v>4123</v>
      </c>
      <c r="E2077" s="1" t="s">
        <v>4124</v>
      </c>
      <c r="F2077" s="2">
        <v>280</v>
      </c>
      <c r="G2077" s="3">
        <v>62.1</v>
      </c>
      <c r="H2077" s="4" t="str">
        <f>IF(AND(A2077="Yes",C2077="School"),COUNTIFS($A$6:A2077,"Yes",$C$6:C2077,"School"),"")</f>
        <v/>
      </c>
    </row>
    <row r="2078" spans="1:8">
      <c r="A2078" s="13"/>
      <c r="B2078" s="1" t="s">
        <v>4106</v>
      </c>
      <c r="C2078" s="1" t="s">
        <v>24</v>
      </c>
      <c r="D2078" s="1" t="s">
        <v>4125</v>
      </c>
      <c r="E2078" s="1" t="s">
        <v>4126</v>
      </c>
      <c r="F2078" s="2">
        <v>398</v>
      </c>
      <c r="G2078" s="3">
        <v>78.400000000000006</v>
      </c>
      <c r="H2078" s="4" t="str">
        <f>IF(AND(A2078="Yes",C2078="School"),COUNTIFS($A$6:A2078,"Yes",$C$6:C2078,"School"),"")</f>
        <v/>
      </c>
    </row>
    <row r="2079" spans="1:8">
      <c r="A2079" s="13"/>
      <c r="B2079" s="1" t="s">
        <v>4106</v>
      </c>
      <c r="C2079" s="1" t="s">
        <v>24</v>
      </c>
      <c r="D2079" s="1" t="s">
        <v>361</v>
      </c>
      <c r="E2079" s="1" t="s">
        <v>4127</v>
      </c>
      <c r="F2079" s="2">
        <v>330</v>
      </c>
      <c r="G2079" s="3">
        <v>70.3</v>
      </c>
      <c r="H2079" s="4" t="str">
        <f>IF(AND(A2079="Yes",C2079="School"),COUNTIFS($A$6:A2079,"Yes",$C$6:C2079,"School"),"")</f>
        <v/>
      </c>
    </row>
    <row r="2080" spans="1:8">
      <c r="A2080" s="13"/>
      <c r="B2080" s="1" t="s">
        <v>4106</v>
      </c>
      <c r="C2080" s="1" t="s">
        <v>24</v>
      </c>
      <c r="D2080" s="1" t="s">
        <v>4128</v>
      </c>
      <c r="E2080" s="1" t="s">
        <v>4129</v>
      </c>
      <c r="F2080" s="2">
        <v>531</v>
      </c>
      <c r="G2080" s="3">
        <v>64.400000000000006</v>
      </c>
      <c r="H2080" s="4" t="str">
        <f>IF(AND(A2080="Yes",C2080="School"),COUNTIFS($A$6:A2080,"Yes",$C$6:C2080,"School"),"")</f>
        <v/>
      </c>
    </row>
    <row r="2081" spans="1:8">
      <c r="A2081" s="13"/>
      <c r="B2081" s="1" t="s">
        <v>4106</v>
      </c>
      <c r="C2081" s="1" t="s">
        <v>24</v>
      </c>
      <c r="D2081" s="1" t="s">
        <v>4130</v>
      </c>
      <c r="E2081" s="1" t="s">
        <v>4131</v>
      </c>
      <c r="F2081" s="2">
        <v>390</v>
      </c>
      <c r="G2081" s="3">
        <v>82.8</v>
      </c>
      <c r="H2081" s="4" t="str">
        <f>IF(AND(A2081="Yes",C2081="School"),COUNTIFS($A$6:A2081,"Yes",$C$6:C2081,"School"),"")</f>
        <v/>
      </c>
    </row>
    <row r="2082" spans="1:8">
      <c r="A2082" s="13"/>
      <c r="B2082" s="1" t="s">
        <v>4106</v>
      </c>
      <c r="C2082" s="1" t="s">
        <v>24</v>
      </c>
      <c r="D2082" s="1" t="s">
        <v>4132</v>
      </c>
      <c r="E2082" s="1" t="s">
        <v>4133</v>
      </c>
      <c r="F2082" s="2">
        <v>677</v>
      </c>
      <c r="G2082" s="3">
        <v>66.8</v>
      </c>
      <c r="H2082" s="4" t="str">
        <f>IF(AND(A2082="Yes",C2082="School"),COUNTIFS($A$6:A2082,"Yes",$C$6:C2082,"School"),"")</f>
        <v/>
      </c>
    </row>
    <row r="2083" spans="1:8">
      <c r="A2083" s="13"/>
      <c r="B2083" s="1" t="s">
        <v>4106</v>
      </c>
      <c r="C2083" s="1" t="s">
        <v>24</v>
      </c>
      <c r="D2083" s="1" t="s">
        <v>4134</v>
      </c>
      <c r="E2083" s="1" t="s">
        <v>4135</v>
      </c>
      <c r="F2083" s="2">
        <v>532</v>
      </c>
      <c r="G2083" s="3">
        <v>68.8</v>
      </c>
      <c r="H2083" s="4" t="str">
        <f>IF(AND(A2083="Yes",C2083="School"),COUNTIFS($A$6:A2083,"Yes",$C$6:C2083,"School"),"")</f>
        <v/>
      </c>
    </row>
    <row r="2084" spans="1:8">
      <c r="A2084" s="13"/>
      <c r="B2084" s="1" t="s">
        <v>4106</v>
      </c>
      <c r="C2084" s="1" t="s">
        <v>24</v>
      </c>
      <c r="D2084" s="1" t="s">
        <v>4136</v>
      </c>
      <c r="E2084" s="1" t="s">
        <v>4137</v>
      </c>
      <c r="F2084" s="2">
        <v>326</v>
      </c>
      <c r="G2084" s="3">
        <v>27.6</v>
      </c>
      <c r="H2084" s="4" t="str">
        <f>IF(AND(A2084="Yes",C2084="School"),COUNTIFS($A$6:A2084,"Yes",$C$6:C2084,"School"),"")</f>
        <v/>
      </c>
    </row>
    <row r="2085" spans="1:8">
      <c r="A2085" s="13"/>
      <c r="B2085" s="1" t="s">
        <v>4106</v>
      </c>
      <c r="C2085" s="1" t="s">
        <v>24</v>
      </c>
      <c r="D2085" s="1" t="s">
        <v>4138</v>
      </c>
      <c r="E2085" s="1" t="s">
        <v>4139</v>
      </c>
      <c r="F2085" s="2">
        <v>806</v>
      </c>
      <c r="G2085" s="3">
        <v>41.7</v>
      </c>
      <c r="H2085" s="4" t="str">
        <f>IF(AND(A2085="Yes",C2085="School"),COUNTIFS($A$6:A2085,"Yes",$C$6:C2085,"School"),"")</f>
        <v/>
      </c>
    </row>
    <row r="2086" spans="1:8">
      <c r="A2086" s="13"/>
      <c r="B2086" s="1" t="s">
        <v>4106</v>
      </c>
      <c r="C2086" s="1" t="s">
        <v>24</v>
      </c>
      <c r="D2086" s="1" t="s">
        <v>4140</v>
      </c>
      <c r="E2086" s="1" t="s">
        <v>4141</v>
      </c>
      <c r="F2086" s="2">
        <v>743</v>
      </c>
      <c r="G2086" s="3">
        <v>45.6</v>
      </c>
      <c r="H2086" s="4" t="str">
        <f>IF(AND(A2086="Yes",C2086="School"),COUNTIFS($A$6:A2086,"Yes",$C$6:C2086,"School"),"")</f>
        <v/>
      </c>
    </row>
    <row r="2087" spans="1:8">
      <c r="A2087" s="13"/>
      <c r="B2087" s="1" t="s">
        <v>4106</v>
      </c>
      <c r="C2087" s="1" t="s">
        <v>24</v>
      </c>
      <c r="D2087" s="1" t="s">
        <v>4142</v>
      </c>
      <c r="E2087" s="1" t="s">
        <v>4143</v>
      </c>
      <c r="F2087" s="2">
        <v>263</v>
      </c>
      <c r="G2087" s="3">
        <v>70.3</v>
      </c>
      <c r="H2087" s="4" t="str">
        <f>IF(AND(A2087="Yes",C2087="School"),COUNTIFS($A$6:A2087,"Yes",$C$6:C2087,"School"),"")</f>
        <v/>
      </c>
    </row>
    <row r="2088" spans="1:8">
      <c r="A2088" s="13"/>
      <c r="B2088" s="1" t="s">
        <v>4106</v>
      </c>
      <c r="C2088" s="1" t="s">
        <v>24</v>
      </c>
      <c r="D2088" s="1" t="s">
        <v>4144</v>
      </c>
      <c r="E2088" s="1" t="s">
        <v>4145</v>
      </c>
      <c r="F2088" s="2">
        <v>415</v>
      </c>
      <c r="G2088" s="3">
        <v>63.6</v>
      </c>
      <c r="H2088" s="4" t="str">
        <f>IF(AND(A2088="Yes",C2088="School"),COUNTIFS($A$6:A2088,"Yes",$C$6:C2088,"School"),"")</f>
        <v/>
      </c>
    </row>
    <row r="2089" spans="1:8">
      <c r="A2089" s="13"/>
      <c r="B2089" s="1" t="s">
        <v>4106</v>
      </c>
      <c r="C2089" s="1" t="s">
        <v>24</v>
      </c>
      <c r="D2089" s="1" t="s">
        <v>4146</v>
      </c>
      <c r="E2089" s="1" t="s">
        <v>4147</v>
      </c>
      <c r="F2089" s="2">
        <v>48</v>
      </c>
      <c r="G2089" s="3">
        <v>79.2</v>
      </c>
      <c r="H2089" s="4" t="str">
        <f>IF(AND(A2089="Yes",C2089="School"),COUNTIFS($A$6:A2089,"Yes",$C$6:C2089,"School"),"")</f>
        <v/>
      </c>
    </row>
    <row r="2090" spans="1:8">
      <c r="A2090" s="13"/>
      <c r="B2090" s="1" t="s">
        <v>4106</v>
      </c>
      <c r="C2090" s="1" t="s">
        <v>24</v>
      </c>
      <c r="D2090" s="1" t="s">
        <v>4148</v>
      </c>
      <c r="E2090" s="1" t="s">
        <v>4149</v>
      </c>
      <c r="F2090" s="2">
        <v>489</v>
      </c>
      <c r="G2090" s="3">
        <v>48.3</v>
      </c>
      <c r="H2090" s="4" t="str">
        <f>IF(AND(A2090="Yes",C2090="School"),COUNTIFS($A$6:A2090,"Yes",$C$6:C2090,"School"),"")</f>
        <v/>
      </c>
    </row>
    <row r="2091" spans="1:8">
      <c r="A2091" s="13"/>
      <c r="B2091" s="1" t="s">
        <v>4106</v>
      </c>
      <c r="C2091" s="1" t="s">
        <v>24</v>
      </c>
      <c r="D2091" s="1" t="s">
        <v>4150</v>
      </c>
      <c r="E2091" s="1" t="s">
        <v>4151</v>
      </c>
      <c r="F2091" s="2">
        <v>535</v>
      </c>
      <c r="G2091" s="3">
        <v>54.4</v>
      </c>
      <c r="H2091" s="4" t="str">
        <f>IF(AND(A2091="Yes",C2091="School"),COUNTIFS($A$6:A2091,"Yes",$C$6:C2091,"School"),"")</f>
        <v/>
      </c>
    </row>
    <row r="2092" spans="1:8">
      <c r="A2092" s="13"/>
      <c r="B2092" s="1" t="s">
        <v>4106</v>
      </c>
      <c r="C2092" s="1" t="s">
        <v>24</v>
      </c>
      <c r="D2092" s="1" t="s">
        <v>4152</v>
      </c>
      <c r="E2092" s="1" t="s">
        <v>4153</v>
      </c>
      <c r="F2092" s="2">
        <v>468</v>
      </c>
      <c r="G2092" s="3">
        <v>68.400000000000006</v>
      </c>
      <c r="H2092" s="4" t="str">
        <f>IF(AND(A2092="Yes",C2092="School"),COUNTIFS($A$6:A2092,"Yes",$C$6:C2092,"School"),"")</f>
        <v/>
      </c>
    </row>
    <row r="2093" spans="1:8">
      <c r="A2093" s="13"/>
      <c r="B2093" s="1" t="s">
        <v>4154</v>
      </c>
      <c r="C2093" s="1" t="s">
        <v>24</v>
      </c>
      <c r="D2093" s="1" t="s">
        <v>4154</v>
      </c>
      <c r="E2093" s="1" t="s">
        <v>4155</v>
      </c>
      <c r="F2093" s="2">
        <v>807</v>
      </c>
      <c r="G2093" s="3">
        <v>72.099999999999994</v>
      </c>
      <c r="H2093" s="4" t="str">
        <f>IF(AND(A2093="Yes",C2093="School"),COUNTIFS($A$6:A2093,"Yes",$C$6:C2093,"School"),"")</f>
        <v/>
      </c>
    </row>
    <row r="2094" spans="1:8">
      <c r="A2094" s="13"/>
      <c r="B2094" s="1" t="s">
        <v>4156</v>
      </c>
      <c r="C2094" s="1" t="s">
        <v>24</v>
      </c>
      <c r="D2094" s="1" t="s">
        <v>4156</v>
      </c>
      <c r="E2094" s="1" t="s">
        <v>4157</v>
      </c>
      <c r="F2094" s="2">
        <v>687</v>
      </c>
      <c r="G2094" s="3">
        <v>59.1</v>
      </c>
      <c r="H2094" s="4" t="str">
        <f>IF(AND(A2094="Yes",C2094="School"),COUNTIFS($A$6:A2094,"Yes",$C$6:C2094,"School"),"")</f>
        <v/>
      </c>
    </row>
    <row r="2095" spans="1:8">
      <c r="A2095" s="13"/>
      <c r="B2095" s="1" t="s">
        <v>4158</v>
      </c>
      <c r="C2095" s="1" t="s">
        <v>40</v>
      </c>
      <c r="D2095" s="1" t="s">
        <v>41</v>
      </c>
      <c r="E2095" s="1" t="s">
        <v>4159</v>
      </c>
      <c r="F2095" s="2">
        <v>17505</v>
      </c>
      <c r="G2095" s="3">
        <v>51.5</v>
      </c>
      <c r="H2095" s="4" t="str">
        <f>IF(AND(A2095="Yes",C2095="School"),COUNTIFS($A$6:A2095,"Yes",$C$6:C2095,"School"),"")</f>
        <v/>
      </c>
    </row>
    <row r="2096" spans="1:8">
      <c r="A2096" s="13"/>
      <c r="B2096" s="1" t="s">
        <v>4158</v>
      </c>
      <c r="C2096" s="1" t="s">
        <v>24</v>
      </c>
      <c r="D2096" s="1" t="s">
        <v>4160</v>
      </c>
      <c r="E2096" s="1" t="s">
        <v>4161</v>
      </c>
      <c r="F2096" s="2">
        <v>359</v>
      </c>
      <c r="G2096" s="3">
        <v>38.700000000000003</v>
      </c>
      <c r="H2096" s="4" t="str">
        <f>IF(AND(A2096="Yes",C2096="School"),COUNTIFS($A$6:A2096,"Yes",$C$6:C2096,"School"),"")</f>
        <v/>
      </c>
    </row>
    <row r="2097" spans="1:8">
      <c r="A2097" s="13"/>
      <c r="B2097" s="1" t="s">
        <v>4158</v>
      </c>
      <c r="C2097" s="1" t="s">
        <v>24</v>
      </c>
      <c r="D2097" s="1" t="s">
        <v>4162</v>
      </c>
      <c r="E2097" s="1" t="s">
        <v>4163</v>
      </c>
      <c r="F2097" s="2">
        <v>915</v>
      </c>
      <c r="G2097" s="3">
        <v>37.4</v>
      </c>
      <c r="H2097" s="4" t="str">
        <f>IF(AND(A2097="Yes",C2097="School"),COUNTIFS($A$6:A2097,"Yes",$C$6:C2097,"School"),"")</f>
        <v/>
      </c>
    </row>
    <row r="2098" spans="1:8">
      <c r="A2098" s="13"/>
      <c r="B2098" s="1" t="s">
        <v>4158</v>
      </c>
      <c r="C2098" s="1" t="s">
        <v>24</v>
      </c>
      <c r="D2098" s="1" t="s">
        <v>4164</v>
      </c>
      <c r="E2098" s="1" t="s">
        <v>4165</v>
      </c>
      <c r="F2098" s="2">
        <v>607</v>
      </c>
      <c r="G2098" s="3">
        <v>49.4</v>
      </c>
      <c r="H2098" s="4" t="str">
        <f>IF(AND(A2098="Yes",C2098="School"),COUNTIFS($A$6:A2098,"Yes",$C$6:C2098,"School"),"")</f>
        <v/>
      </c>
    </row>
    <row r="2099" spans="1:8">
      <c r="A2099" s="13"/>
      <c r="B2099" s="1" t="s">
        <v>4158</v>
      </c>
      <c r="C2099" s="1" t="s">
        <v>24</v>
      </c>
      <c r="D2099" s="1" t="s">
        <v>4166</v>
      </c>
      <c r="E2099" s="1" t="s">
        <v>4167</v>
      </c>
      <c r="F2099" s="2">
        <v>578</v>
      </c>
      <c r="G2099" s="3">
        <v>37.200000000000003</v>
      </c>
      <c r="H2099" s="4" t="str">
        <f>IF(AND(A2099="Yes",C2099="School"),COUNTIFS($A$6:A2099,"Yes",$C$6:C2099,"School"),"")</f>
        <v/>
      </c>
    </row>
    <row r="2100" spans="1:8">
      <c r="A2100" s="13"/>
      <c r="B2100" s="1" t="s">
        <v>4158</v>
      </c>
      <c r="C2100" s="1" t="s">
        <v>24</v>
      </c>
      <c r="D2100" s="1" t="s">
        <v>4168</v>
      </c>
      <c r="E2100" s="1" t="s">
        <v>4169</v>
      </c>
      <c r="F2100" s="2">
        <v>440</v>
      </c>
      <c r="G2100" s="3">
        <v>52</v>
      </c>
      <c r="H2100" s="4" t="str">
        <f>IF(AND(A2100="Yes",C2100="School"),COUNTIFS($A$6:A2100,"Yes",$C$6:C2100,"School"),"")</f>
        <v/>
      </c>
    </row>
    <row r="2101" spans="1:8">
      <c r="A2101" s="13"/>
      <c r="B2101" s="1" t="s">
        <v>4158</v>
      </c>
      <c r="C2101" s="1" t="s">
        <v>24</v>
      </c>
      <c r="D2101" s="1" t="s">
        <v>4170</v>
      </c>
      <c r="E2101" s="1" t="s">
        <v>4171</v>
      </c>
      <c r="F2101" s="2">
        <v>441</v>
      </c>
      <c r="G2101" s="3">
        <v>68.7</v>
      </c>
      <c r="H2101" s="4" t="str">
        <f>IF(AND(A2101="Yes",C2101="School"),COUNTIFS($A$6:A2101,"Yes",$C$6:C2101,"School"),"")</f>
        <v/>
      </c>
    </row>
    <row r="2102" spans="1:8">
      <c r="A2102" s="13"/>
      <c r="B2102" s="1" t="s">
        <v>4158</v>
      </c>
      <c r="C2102" s="1" t="s">
        <v>24</v>
      </c>
      <c r="D2102" s="1" t="s">
        <v>4172</v>
      </c>
      <c r="E2102" s="1" t="s">
        <v>4173</v>
      </c>
      <c r="F2102" s="2">
        <v>904</v>
      </c>
      <c r="G2102" s="3">
        <v>42.1</v>
      </c>
      <c r="H2102" s="4" t="str">
        <f>IF(AND(A2102="Yes",C2102="School"),COUNTIFS($A$6:A2102,"Yes",$C$6:C2102,"School"),"")</f>
        <v/>
      </c>
    </row>
    <row r="2103" spans="1:8">
      <c r="A2103" s="13"/>
      <c r="B2103" s="1" t="s">
        <v>4158</v>
      </c>
      <c r="C2103" s="1" t="s">
        <v>24</v>
      </c>
      <c r="D2103" s="1" t="s">
        <v>425</v>
      </c>
      <c r="E2103" s="1" t="s">
        <v>4174</v>
      </c>
      <c r="F2103" s="2">
        <v>719</v>
      </c>
      <c r="G2103" s="3">
        <v>47</v>
      </c>
      <c r="H2103" s="4" t="str">
        <f>IF(AND(A2103="Yes",C2103="School"),COUNTIFS($A$6:A2103,"Yes",$C$6:C2103,"School"),"")</f>
        <v/>
      </c>
    </row>
    <row r="2104" spans="1:8">
      <c r="A2104" s="13"/>
      <c r="B2104" s="1" t="s">
        <v>4158</v>
      </c>
      <c r="C2104" s="1" t="s">
        <v>24</v>
      </c>
      <c r="D2104" s="1" t="s">
        <v>4175</v>
      </c>
      <c r="E2104" s="1" t="s">
        <v>4176</v>
      </c>
      <c r="F2104" s="2">
        <v>533</v>
      </c>
      <c r="G2104" s="3">
        <v>58.3</v>
      </c>
      <c r="H2104" s="4" t="str">
        <f>IF(AND(A2104="Yes",C2104="School"),COUNTIFS($A$6:A2104,"Yes",$C$6:C2104,"School"),"")</f>
        <v/>
      </c>
    </row>
    <row r="2105" spans="1:8">
      <c r="A2105" s="13"/>
      <c r="B2105" s="1" t="s">
        <v>4158</v>
      </c>
      <c r="C2105" s="1" t="s">
        <v>24</v>
      </c>
      <c r="D2105" s="1" t="s">
        <v>4177</v>
      </c>
      <c r="E2105" s="1" t="s">
        <v>4178</v>
      </c>
      <c r="F2105" s="2">
        <v>95</v>
      </c>
      <c r="G2105" s="3">
        <v>87.4</v>
      </c>
      <c r="H2105" s="4" t="str">
        <f>IF(AND(A2105="Yes",C2105="School"),COUNTIFS($A$6:A2105,"Yes",$C$6:C2105,"School"),"")</f>
        <v/>
      </c>
    </row>
    <row r="2106" spans="1:8">
      <c r="A2106" s="13"/>
      <c r="B2106" s="1" t="s">
        <v>4158</v>
      </c>
      <c r="C2106" s="1" t="s">
        <v>24</v>
      </c>
      <c r="D2106" s="1" t="s">
        <v>4179</v>
      </c>
      <c r="E2106" s="1" t="s">
        <v>4180</v>
      </c>
      <c r="F2106" s="2">
        <v>485</v>
      </c>
      <c r="G2106" s="3">
        <v>66.2</v>
      </c>
      <c r="H2106" s="4" t="str">
        <f>IF(AND(A2106="Yes",C2106="School"),COUNTIFS($A$6:A2106,"Yes",$C$6:C2106,"School"),"")</f>
        <v/>
      </c>
    </row>
    <row r="2107" spans="1:8">
      <c r="A2107" s="13"/>
      <c r="B2107" s="1" t="s">
        <v>4158</v>
      </c>
      <c r="C2107" s="1" t="s">
        <v>24</v>
      </c>
      <c r="D2107" s="1" t="s">
        <v>4181</v>
      </c>
      <c r="E2107" s="1" t="s">
        <v>4182</v>
      </c>
      <c r="F2107" s="2">
        <v>511</v>
      </c>
      <c r="G2107" s="3">
        <v>57.7</v>
      </c>
      <c r="H2107" s="4" t="str">
        <f>IF(AND(A2107="Yes",C2107="School"),COUNTIFS($A$6:A2107,"Yes",$C$6:C2107,"School"),"")</f>
        <v/>
      </c>
    </row>
    <row r="2108" spans="1:8">
      <c r="A2108" s="13"/>
      <c r="B2108" s="1" t="s">
        <v>4158</v>
      </c>
      <c r="C2108" s="1" t="s">
        <v>24</v>
      </c>
      <c r="D2108" s="1" t="s">
        <v>4183</v>
      </c>
      <c r="E2108" s="1" t="s">
        <v>4184</v>
      </c>
      <c r="F2108" s="2">
        <v>570</v>
      </c>
      <c r="G2108" s="3">
        <v>57.5</v>
      </c>
      <c r="H2108" s="4" t="str">
        <f>IF(AND(A2108="Yes",C2108="School"),COUNTIFS($A$6:A2108,"Yes",$C$6:C2108,"School"),"")</f>
        <v/>
      </c>
    </row>
    <row r="2109" spans="1:8">
      <c r="A2109" s="13"/>
      <c r="B2109" s="1" t="s">
        <v>4158</v>
      </c>
      <c r="C2109" s="1" t="s">
        <v>24</v>
      </c>
      <c r="D2109" s="1" t="s">
        <v>4185</v>
      </c>
      <c r="E2109" s="1" t="s">
        <v>4186</v>
      </c>
      <c r="F2109" s="2">
        <v>542</v>
      </c>
      <c r="G2109" s="3">
        <v>69.400000000000006</v>
      </c>
      <c r="H2109" s="4" t="str">
        <f>IF(AND(A2109="Yes",C2109="School"),COUNTIFS($A$6:A2109,"Yes",$C$6:C2109,"School"),"")</f>
        <v/>
      </c>
    </row>
    <row r="2110" spans="1:8">
      <c r="A2110" s="13"/>
      <c r="B2110" s="1" t="s">
        <v>4158</v>
      </c>
      <c r="C2110" s="1" t="s">
        <v>24</v>
      </c>
      <c r="D2110" s="1" t="s">
        <v>4187</v>
      </c>
      <c r="E2110" s="1" t="s">
        <v>4188</v>
      </c>
      <c r="F2110" s="2">
        <v>620</v>
      </c>
      <c r="G2110" s="3">
        <v>51.5</v>
      </c>
      <c r="H2110" s="4" t="str">
        <f>IF(AND(A2110="Yes",C2110="School"),COUNTIFS($A$6:A2110,"Yes",$C$6:C2110,"School"),"")</f>
        <v/>
      </c>
    </row>
    <row r="2111" spans="1:8">
      <c r="A2111" s="13"/>
      <c r="B2111" s="1" t="s">
        <v>4158</v>
      </c>
      <c r="C2111" s="1" t="s">
        <v>24</v>
      </c>
      <c r="D2111" s="1" t="s">
        <v>4189</v>
      </c>
      <c r="E2111" s="1" t="s">
        <v>4190</v>
      </c>
      <c r="F2111" s="2">
        <v>578</v>
      </c>
      <c r="G2111" s="3">
        <v>41.7</v>
      </c>
      <c r="H2111" s="4" t="str">
        <f>IF(AND(A2111="Yes",C2111="School"),COUNTIFS($A$6:A2111,"Yes",$C$6:C2111,"School"),"")</f>
        <v/>
      </c>
    </row>
    <row r="2112" spans="1:8">
      <c r="A2112" s="13"/>
      <c r="B2112" s="1" t="s">
        <v>4158</v>
      </c>
      <c r="C2112" s="1" t="s">
        <v>24</v>
      </c>
      <c r="D2112" s="1" t="s">
        <v>4191</v>
      </c>
      <c r="E2112" s="1" t="s">
        <v>4192</v>
      </c>
      <c r="F2112" s="2">
        <v>271</v>
      </c>
      <c r="G2112" s="3">
        <v>53.9</v>
      </c>
      <c r="H2112" s="4" t="str">
        <f>IF(AND(A2112="Yes",C2112="School"),COUNTIFS($A$6:A2112,"Yes",$C$6:C2112,"School"),"")</f>
        <v/>
      </c>
    </row>
    <row r="2113" spans="1:8">
      <c r="A2113" s="13"/>
      <c r="B2113" s="1" t="s">
        <v>4158</v>
      </c>
      <c r="C2113" s="1" t="s">
        <v>24</v>
      </c>
      <c r="D2113" s="1" t="s">
        <v>4193</v>
      </c>
      <c r="E2113" s="1" t="s">
        <v>4194</v>
      </c>
      <c r="F2113" s="2">
        <v>289</v>
      </c>
      <c r="G2113" s="3">
        <v>33.200000000000003</v>
      </c>
      <c r="H2113" s="4" t="str">
        <f>IF(AND(A2113="Yes",C2113="School"),COUNTIFS($A$6:A2113,"Yes",$C$6:C2113,"School"),"")</f>
        <v/>
      </c>
    </row>
    <row r="2114" spans="1:8">
      <c r="A2114" s="13"/>
      <c r="B2114" s="1" t="s">
        <v>4158</v>
      </c>
      <c r="C2114" s="1" t="s">
        <v>24</v>
      </c>
      <c r="D2114" s="1" t="s">
        <v>4195</v>
      </c>
      <c r="E2114" s="1" t="s">
        <v>4196</v>
      </c>
      <c r="F2114" s="2">
        <v>417</v>
      </c>
      <c r="G2114" s="3">
        <v>65.2</v>
      </c>
      <c r="H2114" s="4" t="str">
        <f>IF(AND(A2114="Yes",C2114="School"),COUNTIFS($A$6:A2114,"Yes",$C$6:C2114,"School"),"")</f>
        <v/>
      </c>
    </row>
    <row r="2115" spans="1:8">
      <c r="A2115" s="13"/>
      <c r="B2115" s="1" t="s">
        <v>4158</v>
      </c>
      <c r="C2115" s="1" t="s">
        <v>24</v>
      </c>
      <c r="D2115" s="1" t="s">
        <v>4197</v>
      </c>
      <c r="E2115" s="1" t="s">
        <v>4198</v>
      </c>
      <c r="F2115" s="2">
        <v>482</v>
      </c>
      <c r="G2115" s="3">
        <v>56.8</v>
      </c>
      <c r="H2115" s="4" t="str">
        <f>IF(AND(A2115="Yes",C2115="School"),COUNTIFS($A$6:A2115,"Yes",$C$6:C2115,"School"),"")</f>
        <v/>
      </c>
    </row>
    <row r="2116" spans="1:8">
      <c r="A2116" s="13"/>
      <c r="B2116" s="1" t="s">
        <v>4158</v>
      </c>
      <c r="C2116" s="1" t="s">
        <v>24</v>
      </c>
      <c r="D2116" s="1" t="s">
        <v>4199</v>
      </c>
      <c r="E2116" s="1" t="s">
        <v>4200</v>
      </c>
      <c r="F2116" s="2">
        <v>855</v>
      </c>
      <c r="G2116" s="3">
        <v>64.2</v>
      </c>
      <c r="H2116" s="4" t="str">
        <f>IF(AND(A2116="Yes",C2116="School"),COUNTIFS($A$6:A2116,"Yes",$C$6:C2116,"School"),"")</f>
        <v/>
      </c>
    </row>
    <row r="2117" spans="1:8">
      <c r="A2117" s="13"/>
      <c r="B2117" s="1" t="s">
        <v>4158</v>
      </c>
      <c r="C2117" s="1" t="s">
        <v>24</v>
      </c>
      <c r="D2117" s="1" t="s">
        <v>4201</v>
      </c>
      <c r="E2117" s="1" t="s">
        <v>4202</v>
      </c>
      <c r="F2117" s="2">
        <v>266</v>
      </c>
      <c r="G2117" s="3">
        <v>70.7</v>
      </c>
      <c r="H2117" s="4" t="str">
        <f>IF(AND(A2117="Yes",C2117="School"),COUNTIFS($A$6:A2117,"Yes",$C$6:C2117,"School"),"")</f>
        <v/>
      </c>
    </row>
    <row r="2118" spans="1:8">
      <c r="A2118" s="13"/>
      <c r="B2118" s="1" t="s">
        <v>4158</v>
      </c>
      <c r="C2118" s="1" t="s">
        <v>24</v>
      </c>
      <c r="D2118" s="1" t="s">
        <v>4203</v>
      </c>
      <c r="E2118" s="1" t="s">
        <v>4204</v>
      </c>
      <c r="F2118" s="2">
        <v>508</v>
      </c>
      <c r="G2118" s="3">
        <v>41.5</v>
      </c>
      <c r="H2118" s="4" t="str">
        <f>IF(AND(A2118="Yes",C2118="School"),COUNTIFS($A$6:A2118,"Yes",$C$6:C2118,"School"),"")</f>
        <v/>
      </c>
    </row>
    <row r="2119" spans="1:8">
      <c r="A2119" s="13"/>
      <c r="B2119" s="1" t="s">
        <v>4158</v>
      </c>
      <c r="C2119" s="1" t="s">
        <v>24</v>
      </c>
      <c r="D2119" s="1" t="s">
        <v>4205</v>
      </c>
      <c r="E2119" s="1" t="s">
        <v>4206</v>
      </c>
      <c r="F2119" s="2">
        <v>229</v>
      </c>
      <c r="G2119" s="3">
        <v>38.9</v>
      </c>
      <c r="H2119" s="4" t="str">
        <f>IF(AND(A2119="Yes",C2119="School"),COUNTIFS($A$6:A2119,"Yes",$C$6:C2119,"School"),"")</f>
        <v/>
      </c>
    </row>
    <row r="2120" spans="1:8">
      <c r="A2120" s="13"/>
      <c r="B2120" s="1" t="s">
        <v>4158</v>
      </c>
      <c r="C2120" s="1" t="s">
        <v>24</v>
      </c>
      <c r="D2120" s="1" t="s">
        <v>4207</v>
      </c>
      <c r="E2120" s="1" t="s">
        <v>4208</v>
      </c>
      <c r="F2120" s="2">
        <v>906</v>
      </c>
      <c r="G2120" s="3">
        <v>57.6</v>
      </c>
      <c r="H2120" s="4" t="str">
        <f>IF(AND(A2120="Yes",C2120="School"),COUNTIFS($A$6:A2120,"Yes",$C$6:C2120,"School"),"")</f>
        <v/>
      </c>
    </row>
    <row r="2121" spans="1:8">
      <c r="A2121" s="13"/>
      <c r="B2121" s="1" t="s">
        <v>4158</v>
      </c>
      <c r="C2121" s="1" t="s">
        <v>24</v>
      </c>
      <c r="D2121" s="1" t="s">
        <v>4209</v>
      </c>
      <c r="E2121" s="1" t="s">
        <v>4210</v>
      </c>
      <c r="F2121" s="2">
        <v>426</v>
      </c>
      <c r="G2121" s="3">
        <v>56.6</v>
      </c>
      <c r="H2121" s="4" t="str">
        <f>IF(AND(A2121="Yes",C2121="School"),COUNTIFS($A$6:A2121,"Yes",$C$6:C2121,"School"),"")</f>
        <v/>
      </c>
    </row>
    <row r="2122" spans="1:8">
      <c r="A2122" s="13"/>
      <c r="B2122" s="1" t="s">
        <v>4158</v>
      </c>
      <c r="C2122" s="1" t="s">
        <v>24</v>
      </c>
      <c r="D2122" s="1" t="s">
        <v>4211</v>
      </c>
      <c r="E2122" s="1" t="s">
        <v>4212</v>
      </c>
      <c r="F2122" s="2">
        <v>853</v>
      </c>
      <c r="G2122" s="3">
        <v>38.1</v>
      </c>
      <c r="H2122" s="4" t="str">
        <f>IF(AND(A2122="Yes",C2122="School"),COUNTIFS($A$6:A2122,"Yes",$C$6:C2122,"School"),"")</f>
        <v/>
      </c>
    </row>
    <row r="2123" spans="1:8">
      <c r="A2123" s="13"/>
      <c r="B2123" s="1" t="s">
        <v>4158</v>
      </c>
      <c r="C2123" s="1" t="s">
        <v>24</v>
      </c>
      <c r="D2123" s="1" t="s">
        <v>4213</v>
      </c>
      <c r="E2123" s="1" t="s">
        <v>4214</v>
      </c>
      <c r="F2123" s="2">
        <v>495</v>
      </c>
      <c r="G2123" s="3">
        <v>51.1</v>
      </c>
      <c r="H2123" s="4" t="str">
        <f>IF(AND(A2123="Yes",C2123="School"),COUNTIFS($A$6:A2123,"Yes",$C$6:C2123,"School"),"")</f>
        <v/>
      </c>
    </row>
    <row r="2124" spans="1:8">
      <c r="A2124" s="13"/>
      <c r="B2124" s="1" t="s">
        <v>4158</v>
      </c>
      <c r="C2124" s="1" t="s">
        <v>24</v>
      </c>
      <c r="D2124" s="1" t="s">
        <v>4215</v>
      </c>
      <c r="E2124" s="1" t="s">
        <v>4216</v>
      </c>
      <c r="F2124" s="2">
        <v>395</v>
      </c>
      <c r="G2124" s="3">
        <v>60</v>
      </c>
      <c r="H2124" s="4" t="str">
        <f>IF(AND(A2124="Yes",C2124="School"),COUNTIFS($A$6:A2124,"Yes",$C$6:C2124,"School"),"")</f>
        <v/>
      </c>
    </row>
    <row r="2125" spans="1:8">
      <c r="A2125" s="13"/>
      <c r="B2125" s="1" t="s">
        <v>4158</v>
      </c>
      <c r="C2125" s="1" t="s">
        <v>24</v>
      </c>
      <c r="D2125" s="1" t="s">
        <v>4217</v>
      </c>
      <c r="E2125" s="1" t="s">
        <v>4218</v>
      </c>
      <c r="F2125" s="2">
        <v>643</v>
      </c>
      <c r="G2125" s="3">
        <v>59.4</v>
      </c>
      <c r="H2125" s="4" t="str">
        <f>IF(AND(A2125="Yes",C2125="School"),COUNTIFS($A$6:A2125,"Yes",$C$6:C2125,"School"),"")</f>
        <v/>
      </c>
    </row>
    <row r="2126" spans="1:8">
      <c r="A2126" s="13"/>
      <c r="B2126" s="1" t="s">
        <v>4158</v>
      </c>
      <c r="C2126" s="1" t="s">
        <v>24</v>
      </c>
      <c r="D2126" s="1" t="s">
        <v>4219</v>
      </c>
      <c r="E2126" s="1" t="s">
        <v>4220</v>
      </c>
      <c r="F2126" s="2">
        <v>897</v>
      </c>
      <c r="G2126" s="3">
        <v>44.6</v>
      </c>
      <c r="H2126" s="4" t="str">
        <f>IF(AND(A2126="Yes",C2126="School"),COUNTIFS($A$6:A2126,"Yes",$C$6:C2126,"School"),"")</f>
        <v/>
      </c>
    </row>
    <row r="2127" spans="1:8">
      <c r="A2127" s="13"/>
      <c r="B2127" s="1" t="s">
        <v>4158</v>
      </c>
      <c r="C2127" s="1" t="s">
        <v>24</v>
      </c>
      <c r="D2127" s="1" t="s">
        <v>4221</v>
      </c>
      <c r="E2127" s="1" t="s">
        <v>4222</v>
      </c>
      <c r="F2127" s="2">
        <v>676</v>
      </c>
      <c r="G2127" s="3">
        <v>45.3</v>
      </c>
      <c r="H2127" s="4" t="str">
        <f>IF(AND(A2127="Yes",C2127="School"),COUNTIFS($A$6:A2127,"Yes",$C$6:C2127,"School"),"")</f>
        <v/>
      </c>
    </row>
    <row r="2128" spans="1:8">
      <c r="A2128" s="13"/>
      <c r="B2128" s="1" t="s">
        <v>4223</v>
      </c>
      <c r="C2128" s="1" t="s">
        <v>24</v>
      </c>
      <c r="D2128" s="1" t="s">
        <v>4223</v>
      </c>
      <c r="E2128" s="1" t="s">
        <v>4224</v>
      </c>
      <c r="F2128" s="2">
        <v>726</v>
      </c>
      <c r="G2128" s="3">
        <v>38.799999999999997</v>
      </c>
      <c r="H2128" s="4" t="str">
        <f>IF(AND(A2128="Yes",C2128="School"),COUNTIFS($A$6:A2128,"Yes",$C$6:C2128,"School"),"")</f>
        <v/>
      </c>
    </row>
    <row r="2129" spans="1:8">
      <c r="A2129" s="13"/>
      <c r="B2129" s="1" t="s">
        <v>4225</v>
      </c>
      <c r="C2129" s="1" t="s">
        <v>40</v>
      </c>
      <c r="D2129" s="1" t="s">
        <v>41</v>
      </c>
      <c r="E2129" s="1" t="s">
        <v>4226</v>
      </c>
      <c r="F2129" s="2">
        <v>6990</v>
      </c>
      <c r="G2129" s="3">
        <v>62.3</v>
      </c>
      <c r="H2129" s="4" t="str">
        <f>IF(AND(A2129="Yes",C2129="School"),COUNTIFS($A$6:A2129,"Yes",$C$6:C2129,"School"),"")</f>
        <v/>
      </c>
    </row>
    <row r="2130" spans="1:8">
      <c r="A2130" s="13"/>
      <c r="B2130" s="1" t="s">
        <v>4225</v>
      </c>
      <c r="C2130" s="1" t="s">
        <v>24</v>
      </c>
      <c r="D2130" s="1" t="s">
        <v>4227</v>
      </c>
      <c r="E2130" s="1" t="s">
        <v>4228</v>
      </c>
      <c r="F2130" s="2">
        <v>548</v>
      </c>
      <c r="G2130" s="3">
        <v>52.9</v>
      </c>
      <c r="H2130" s="4" t="str">
        <f>IF(AND(A2130="Yes",C2130="School"),COUNTIFS($A$6:A2130,"Yes",$C$6:C2130,"School"),"")</f>
        <v/>
      </c>
    </row>
    <row r="2131" spans="1:8">
      <c r="A2131" s="13"/>
      <c r="B2131" s="1" t="s">
        <v>4225</v>
      </c>
      <c r="C2131" s="1" t="s">
        <v>24</v>
      </c>
      <c r="D2131" s="1" t="s">
        <v>4229</v>
      </c>
      <c r="E2131" s="1" t="s">
        <v>4230</v>
      </c>
      <c r="F2131" s="2">
        <v>461</v>
      </c>
      <c r="G2131" s="3">
        <v>63.1</v>
      </c>
      <c r="H2131" s="4" t="str">
        <f>IF(AND(A2131="Yes",C2131="School"),COUNTIFS($A$6:A2131,"Yes",$C$6:C2131,"School"),"")</f>
        <v/>
      </c>
    </row>
    <row r="2132" spans="1:8">
      <c r="A2132" s="13"/>
      <c r="B2132" s="1" t="s">
        <v>4225</v>
      </c>
      <c r="C2132" s="1" t="s">
        <v>24</v>
      </c>
      <c r="D2132" s="1" t="s">
        <v>4231</v>
      </c>
      <c r="E2132" s="1" t="s">
        <v>4232</v>
      </c>
      <c r="F2132" s="2">
        <v>209</v>
      </c>
      <c r="G2132" s="3">
        <v>80.900000000000006</v>
      </c>
      <c r="H2132" s="4" t="str">
        <f>IF(AND(A2132="Yes",C2132="School"),COUNTIFS($A$6:A2132,"Yes",$C$6:C2132,"School"),"")</f>
        <v/>
      </c>
    </row>
    <row r="2133" spans="1:8">
      <c r="A2133" s="13"/>
      <c r="B2133" s="1" t="s">
        <v>4225</v>
      </c>
      <c r="C2133" s="1" t="s">
        <v>24</v>
      </c>
      <c r="D2133" s="1" t="s">
        <v>4233</v>
      </c>
      <c r="E2133" s="1" t="s">
        <v>4234</v>
      </c>
      <c r="F2133" s="2">
        <v>569</v>
      </c>
      <c r="G2133" s="3">
        <v>55.5</v>
      </c>
      <c r="H2133" s="4" t="str">
        <f>IF(AND(A2133="Yes",C2133="School"),COUNTIFS($A$6:A2133,"Yes",$C$6:C2133,"School"),"")</f>
        <v/>
      </c>
    </row>
    <row r="2134" spans="1:8">
      <c r="A2134" s="13"/>
      <c r="B2134" s="1" t="s">
        <v>4225</v>
      </c>
      <c r="C2134" s="1" t="s">
        <v>24</v>
      </c>
      <c r="D2134" s="1" t="s">
        <v>4235</v>
      </c>
      <c r="E2134" s="1" t="s">
        <v>4236</v>
      </c>
      <c r="F2134" s="2">
        <v>523</v>
      </c>
      <c r="G2134" s="3">
        <v>64.400000000000006</v>
      </c>
      <c r="H2134" s="4" t="str">
        <f>IF(AND(A2134="Yes",C2134="School"),COUNTIFS($A$6:A2134,"Yes",$C$6:C2134,"School"),"")</f>
        <v/>
      </c>
    </row>
    <row r="2135" spans="1:8">
      <c r="A2135" s="13"/>
      <c r="B2135" s="1" t="s">
        <v>4225</v>
      </c>
      <c r="C2135" s="1" t="s">
        <v>24</v>
      </c>
      <c r="D2135" s="1" t="s">
        <v>4237</v>
      </c>
      <c r="E2135" s="1" t="s">
        <v>4238</v>
      </c>
      <c r="F2135" s="2">
        <v>572</v>
      </c>
      <c r="G2135" s="3">
        <v>65.2</v>
      </c>
      <c r="H2135" s="4" t="str">
        <f>IF(AND(A2135="Yes",C2135="School"),COUNTIFS($A$6:A2135,"Yes",$C$6:C2135,"School"),"")</f>
        <v/>
      </c>
    </row>
    <row r="2136" spans="1:8">
      <c r="A2136" s="13"/>
      <c r="B2136" s="1" t="s">
        <v>4225</v>
      </c>
      <c r="C2136" s="1" t="s">
        <v>24</v>
      </c>
      <c r="D2136" s="1" t="s">
        <v>4239</v>
      </c>
      <c r="E2136" s="1" t="s">
        <v>4240</v>
      </c>
      <c r="F2136" s="2">
        <v>440</v>
      </c>
      <c r="G2136" s="3">
        <v>81.8</v>
      </c>
      <c r="H2136" s="4" t="str">
        <f>IF(AND(A2136="Yes",C2136="School"),COUNTIFS($A$6:A2136,"Yes",$C$6:C2136,"School"),"")</f>
        <v/>
      </c>
    </row>
    <row r="2137" spans="1:8">
      <c r="A2137" s="13"/>
      <c r="B2137" s="1" t="s">
        <v>4225</v>
      </c>
      <c r="C2137" s="1" t="s">
        <v>24</v>
      </c>
      <c r="D2137" s="1" t="s">
        <v>4241</v>
      </c>
      <c r="E2137" s="1" t="s">
        <v>4242</v>
      </c>
      <c r="F2137" s="2">
        <v>409</v>
      </c>
      <c r="G2137" s="3">
        <v>72.599999999999994</v>
      </c>
      <c r="H2137" s="4" t="str">
        <f>IF(AND(A2137="Yes",C2137="School"),COUNTIFS($A$6:A2137,"Yes",$C$6:C2137,"School"),"")</f>
        <v/>
      </c>
    </row>
    <row r="2138" spans="1:8">
      <c r="A2138" s="13"/>
      <c r="B2138" s="1" t="s">
        <v>4225</v>
      </c>
      <c r="C2138" s="1" t="s">
        <v>24</v>
      </c>
      <c r="D2138" s="1" t="s">
        <v>4243</v>
      </c>
      <c r="E2138" s="1" t="s">
        <v>4244</v>
      </c>
      <c r="F2138" s="2">
        <v>462</v>
      </c>
      <c r="G2138" s="3">
        <v>63.6</v>
      </c>
      <c r="H2138" s="4" t="str">
        <f>IF(AND(A2138="Yes",C2138="School"),COUNTIFS($A$6:A2138,"Yes",$C$6:C2138,"School"),"")</f>
        <v/>
      </c>
    </row>
    <row r="2139" spans="1:8">
      <c r="A2139" s="13"/>
      <c r="B2139" s="1" t="s">
        <v>4225</v>
      </c>
      <c r="C2139" s="1" t="s">
        <v>24</v>
      </c>
      <c r="D2139" s="1" t="s">
        <v>4245</v>
      </c>
      <c r="E2139" s="1" t="s">
        <v>4246</v>
      </c>
      <c r="F2139" s="2">
        <v>359</v>
      </c>
      <c r="G2139" s="3">
        <v>64.3</v>
      </c>
      <c r="H2139" s="4" t="str">
        <f>IF(AND(A2139="Yes",C2139="School"),COUNTIFS($A$6:A2139,"Yes",$C$6:C2139,"School"),"")</f>
        <v/>
      </c>
    </row>
    <row r="2140" spans="1:8">
      <c r="A2140" s="13"/>
      <c r="B2140" s="1" t="s">
        <v>4225</v>
      </c>
      <c r="C2140" s="1" t="s">
        <v>24</v>
      </c>
      <c r="D2140" s="1" t="s">
        <v>4247</v>
      </c>
      <c r="E2140" s="1" t="s">
        <v>4248</v>
      </c>
      <c r="F2140" s="2">
        <v>670</v>
      </c>
      <c r="G2140" s="3">
        <v>47.3</v>
      </c>
      <c r="H2140" s="4" t="str">
        <f>IF(AND(A2140="Yes",C2140="School"),COUNTIFS($A$6:A2140,"Yes",$C$6:C2140,"School"),"")</f>
        <v/>
      </c>
    </row>
    <row r="2141" spans="1:8">
      <c r="A2141" s="13"/>
      <c r="B2141" s="1" t="s">
        <v>4225</v>
      </c>
      <c r="C2141" s="1" t="s">
        <v>24</v>
      </c>
      <c r="D2141" s="1" t="s">
        <v>4249</v>
      </c>
      <c r="E2141" s="1" t="s">
        <v>4250</v>
      </c>
      <c r="F2141" s="2">
        <v>567</v>
      </c>
      <c r="G2141" s="3">
        <v>58.4</v>
      </c>
      <c r="H2141" s="4" t="str">
        <f>IF(AND(A2141="Yes",C2141="School"),COUNTIFS($A$6:A2141,"Yes",$C$6:C2141,"School"),"")</f>
        <v/>
      </c>
    </row>
    <row r="2142" spans="1:8">
      <c r="A2142" s="13"/>
      <c r="B2142" s="1" t="s">
        <v>4225</v>
      </c>
      <c r="C2142" s="1" t="s">
        <v>24</v>
      </c>
      <c r="D2142" s="1" t="s">
        <v>4251</v>
      </c>
      <c r="E2142" s="1" t="s">
        <v>4252</v>
      </c>
      <c r="F2142" s="2">
        <v>209</v>
      </c>
      <c r="G2142" s="3">
        <v>41.1</v>
      </c>
      <c r="H2142" s="4" t="str">
        <f>IF(AND(A2142="Yes",C2142="School"),COUNTIFS($A$6:A2142,"Yes",$C$6:C2142,"School"),"")</f>
        <v/>
      </c>
    </row>
    <row r="2143" spans="1:8">
      <c r="A2143" s="13"/>
      <c r="B2143" s="1" t="s">
        <v>4225</v>
      </c>
      <c r="C2143" s="1" t="s">
        <v>24</v>
      </c>
      <c r="D2143" s="1" t="s">
        <v>4253</v>
      </c>
      <c r="E2143" s="1" t="s">
        <v>4254</v>
      </c>
      <c r="F2143" s="2">
        <v>384</v>
      </c>
      <c r="G2143" s="3">
        <v>62.2</v>
      </c>
      <c r="H2143" s="4" t="str">
        <f>IF(AND(A2143="Yes",C2143="School"),COUNTIFS($A$6:A2143,"Yes",$C$6:C2143,"School"),"")</f>
        <v/>
      </c>
    </row>
    <row r="2144" spans="1:8">
      <c r="A2144" s="13"/>
      <c r="B2144" s="1" t="s">
        <v>4225</v>
      </c>
      <c r="C2144" s="1" t="s">
        <v>24</v>
      </c>
      <c r="D2144" s="1" t="s">
        <v>4255</v>
      </c>
      <c r="E2144" s="1" t="s">
        <v>4256</v>
      </c>
      <c r="F2144" s="2">
        <v>354</v>
      </c>
      <c r="G2144" s="3">
        <v>78.2</v>
      </c>
      <c r="H2144" s="4" t="str">
        <f>IF(AND(A2144="Yes",C2144="School"),COUNTIFS($A$6:A2144,"Yes",$C$6:C2144,"School"),"")</f>
        <v/>
      </c>
    </row>
    <row r="2145" spans="1:8">
      <c r="A2145" s="13"/>
      <c r="B2145" s="1" t="s">
        <v>4225</v>
      </c>
      <c r="C2145" s="1" t="s">
        <v>24</v>
      </c>
      <c r="D2145" s="1" t="s">
        <v>4257</v>
      </c>
      <c r="E2145" s="1" t="s">
        <v>4258</v>
      </c>
      <c r="F2145" s="2">
        <v>254</v>
      </c>
      <c r="G2145" s="3">
        <v>58.3</v>
      </c>
      <c r="H2145" s="4" t="str">
        <f>IF(AND(A2145="Yes",C2145="School"),COUNTIFS($A$6:A2145,"Yes",$C$6:C2145,"School"),"")</f>
        <v/>
      </c>
    </row>
    <row r="2146" spans="1:8">
      <c r="A2146" s="13"/>
      <c r="B2146" s="1" t="s">
        <v>4259</v>
      </c>
      <c r="C2146" s="1" t="s">
        <v>24</v>
      </c>
      <c r="D2146" s="1" t="s">
        <v>4259</v>
      </c>
      <c r="E2146" s="1" t="s">
        <v>4260</v>
      </c>
      <c r="F2146" s="2">
        <v>1161</v>
      </c>
      <c r="G2146" s="3">
        <v>58.3</v>
      </c>
      <c r="H2146" s="4" t="str">
        <f>IF(AND(A2146="Yes",C2146="School"),COUNTIFS($A$6:A2146,"Yes",$C$6:C2146,"School"),"")</f>
        <v/>
      </c>
    </row>
    <row r="2147" spans="1:8">
      <c r="A2147" s="13"/>
      <c r="B2147" s="1" t="s">
        <v>4261</v>
      </c>
      <c r="C2147" s="1" t="s">
        <v>40</v>
      </c>
      <c r="D2147" s="1" t="s">
        <v>41</v>
      </c>
      <c r="E2147" s="1" t="s">
        <v>4262</v>
      </c>
      <c r="F2147" s="2">
        <v>7673</v>
      </c>
      <c r="G2147" s="3">
        <v>62.9</v>
      </c>
      <c r="H2147" s="4" t="str">
        <f>IF(AND(A2147="Yes",C2147="School"),COUNTIFS($A$6:A2147,"Yes",$C$6:C2147,"School"),"")</f>
        <v/>
      </c>
    </row>
    <row r="2148" spans="1:8">
      <c r="A2148" s="13"/>
      <c r="B2148" s="1" t="s">
        <v>4261</v>
      </c>
      <c r="C2148" s="1" t="s">
        <v>24</v>
      </c>
      <c r="D2148" s="1" t="s">
        <v>4263</v>
      </c>
      <c r="E2148" s="1" t="s">
        <v>4264</v>
      </c>
      <c r="F2148" s="2">
        <v>347</v>
      </c>
      <c r="G2148" s="3">
        <v>62.5</v>
      </c>
      <c r="H2148" s="4" t="str">
        <f>IF(AND(A2148="Yes",C2148="School"),COUNTIFS($A$6:A2148,"Yes",$C$6:C2148,"School"),"")</f>
        <v/>
      </c>
    </row>
    <row r="2149" spans="1:8">
      <c r="A2149" s="13"/>
      <c r="B2149" s="1" t="s">
        <v>4261</v>
      </c>
      <c r="C2149" s="1" t="s">
        <v>24</v>
      </c>
      <c r="D2149" s="1" t="s">
        <v>4265</v>
      </c>
      <c r="E2149" s="1" t="s">
        <v>4266</v>
      </c>
      <c r="F2149" s="2">
        <v>372</v>
      </c>
      <c r="G2149" s="3">
        <v>73.900000000000006</v>
      </c>
      <c r="H2149" s="4" t="str">
        <f>IF(AND(A2149="Yes",C2149="School"),COUNTIFS($A$6:A2149,"Yes",$C$6:C2149,"School"),"")</f>
        <v/>
      </c>
    </row>
    <row r="2150" spans="1:8">
      <c r="A2150" s="13"/>
      <c r="B2150" s="1" t="s">
        <v>4261</v>
      </c>
      <c r="C2150" s="1" t="s">
        <v>24</v>
      </c>
      <c r="D2150" s="1" t="s">
        <v>4267</v>
      </c>
      <c r="E2150" s="1" t="s">
        <v>4268</v>
      </c>
      <c r="F2150" s="2">
        <v>425</v>
      </c>
      <c r="G2150" s="3">
        <v>63.1</v>
      </c>
      <c r="H2150" s="4" t="str">
        <f>IF(AND(A2150="Yes",C2150="School"),COUNTIFS($A$6:A2150,"Yes",$C$6:C2150,"School"),"")</f>
        <v/>
      </c>
    </row>
    <row r="2151" spans="1:8">
      <c r="A2151" s="13"/>
      <c r="B2151" s="1" t="s">
        <v>4261</v>
      </c>
      <c r="C2151" s="1" t="s">
        <v>24</v>
      </c>
      <c r="D2151" s="1" t="s">
        <v>4269</v>
      </c>
      <c r="E2151" s="1" t="s">
        <v>4270</v>
      </c>
      <c r="F2151" s="2">
        <v>435</v>
      </c>
      <c r="G2151" s="3">
        <v>58.6</v>
      </c>
      <c r="H2151" s="4" t="str">
        <f>IF(AND(A2151="Yes",C2151="School"),COUNTIFS($A$6:A2151,"Yes",$C$6:C2151,"School"),"")</f>
        <v/>
      </c>
    </row>
    <row r="2152" spans="1:8">
      <c r="A2152" s="13"/>
      <c r="B2152" s="1" t="s">
        <v>4261</v>
      </c>
      <c r="C2152" s="1" t="s">
        <v>24</v>
      </c>
      <c r="D2152" s="1" t="s">
        <v>4271</v>
      </c>
      <c r="E2152" s="1" t="s">
        <v>4272</v>
      </c>
      <c r="F2152" s="2">
        <v>427</v>
      </c>
      <c r="G2152" s="3">
        <v>63.5</v>
      </c>
      <c r="H2152" s="4" t="str">
        <f>IF(AND(A2152="Yes",C2152="School"),COUNTIFS($A$6:A2152,"Yes",$C$6:C2152,"School"),"")</f>
        <v/>
      </c>
    </row>
    <row r="2153" spans="1:8">
      <c r="A2153" s="13"/>
      <c r="B2153" s="1" t="s">
        <v>4261</v>
      </c>
      <c r="C2153" s="1" t="s">
        <v>24</v>
      </c>
      <c r="D2153" s="1" t="s">
        <v>4273</v>
      </c>
      <c r="E2153" s="1" t="s">
        <v>4274</v>
      </c>
      <c r="F2153" s="2">
        <v>424</v>
      </c>
      <c r="G2153" s="3">
        <v>61.8</v>
      </c>
      <c r="H2153" s="4" t="str">
        <f>IF(AND(A2153="Yes",C2153="School"),COUNTIFS($A$6:A2153,"Yes",$C$6:C2153,"School"),"")</f>
        <v/>
      </c>
    </row>
    <row r="2154" spans="1:8">
      <c r="A2154" s="13"/>
      <c r="B2154" s="1" t="s">
        <v>4261</v>
      </c>
      <c r="C2154" s="1" t="s">
        <v>24</v>
      </c>
      <c r="D2154" s="1" t="s">
        <v>1754</v>
      </c>
      <c r="E2154" s="1" t="s">
        <v>4275</v>
      </c>
      <c r="F2154" s="2">
        <v>534</v>
      </c>
      <c r="G2154" s="3">
        <v>60.5</v>
      </c>
      <c r="H2154" s="4" t="str">
        <f>IF(AND(A2154="Yes",C2154="School"),COUNTIFS($A$6:A2154,"Yes",$C$6:C2154,"School"),"")</f>
        <v/>
      </c>
    </row>
    <row r="2155" spans="1:8">
      <c r="A2155" s="13"/>
      <c r="B2155" s="1" t="s">
        <v>4261</v>
      </c>
      <c r="C2155" s="1" t="s">
        <v>24</v>
      </c>
      <c r="D2155" s="1" t="s">
        <v>4276</v>
      </c>
      <c r="E2155" s="1" t="s">
        <v>4277</v>
      </c>
      <c r="F2155" s="2">
        <v>678</v>
      </c>
      <c r="G2155" s="3">
        <v>47.6</v>
      </c>
      <c r="H2155" s="4" t="str">
        <f>IF(AND(A2155="Yes",C2155="School"),COUNTIFS($A$6:A2155,"Yes",$C$6:C2155,"School"),"")</f>
        <v/>
      </c>
    </row>
    <row r="2156" spans="1:8">
      <c r="A2156" s="13"/>
      <c r="B2156" s="1" t="s">
        <v>4261</v>
      </c>
      <c r="C2156" s="1" t="s">
        <v>24</v>
      </c>
      <c r="D2156" s="1" t="s">
        <v>4278</v>
      </c>
      <c r="E2156" s="1" t="s">
        <v>4279</v>
      </c>
      <c r="F2156" s="2">
        <v>559</v>
      </c>
      <c r="G2156" s="3">
        <v>50.4</v>
      </c>
      <c r="H2156" s="4" t="str">
        <f>IF(AND(A2156="Yes",C2156="School"),COUNTIFS($A$6:A2156,"Yes",$C$6:C2156,"School"),"")</f>
        <v/>
      </c>
    </row>
    <row r="2157" spans="1:8">
      <c r="A2157" s="13"/>
      <c r="B2157" s="1" t="s">
        <v>4261</v>
      </c>
      <c r="C2157" s="1" t="s">
        <v>24</v>
      </c>
      <c r="D2157" s="1" t="s">
        <v>4280</v>
      </c>
      <c r="E2157" s="1" t="s">
        <v>4281</v>
      </c>
      <c r="F2157" s="2">
        <v>356</v>
      </c>
      <c r="G2157" s="3">
        <v>54.8</v>
      </c>
      <c r="H2157" s="4" t="str">
        <f>IF(AND(A2157="Yes",C2157="School"),COUNTIFS($A$6:A2157,"Yes",$C$6:C2157,"School"),"")</f>
        <v/>
      </c>
    </row>
    <row r="2158" spans="1:8">
      <c r="A2158" s="13"/>
      <c r="B2158" s="1" t="s">
        <v>4261</v>
      </c>
      <c r="C2158" s="1" t="s">
        <v>24</v>
      </c>
      <c r="D2158" s="1" t="s">
        <v>4282</v>
      </c>
      <c r="E2158" s="1" t="s">
        <v>4283</v>
      </c>
      <c r="F2158" s="2">
        <v>393</v>
      </c>
      <c r="G2158" s="3">
        <v>74.3</v>
      </c>
      <c r="H2158" s="4" t="str">
        <f>IF(AND(A2158="Yes",C2158="School"),COUNTIFS($A$6:A2158,"Yes",$C$6:C2158,"School"),"")</f>
        <v/>
      </c>
    </row>
    <row r="2159" spans="1:8">
      <c r="A2159" s="13"/>
      <c r="B2159" s="1" t="s">
        <v>4261</v>
      </c>
      <c r="C2159" s="1" t="s">
        <v>24</v>
      </c>
      <c r="D2159" s="1" t="s">
        <v>4284</v>
      </c>
      <c r="E2159" s="1" t="s">
        <v>4285</v>
      </c>
      <c r="F2159" s="2">
        <v>375</v>
      </c>
      <c r="G2159" s="3">
        <v>67.2</v>
      </c>
      <c r="H2159" s="4" t="str">
        <f>IF(AND(A2159="Yes",C2159="School"),COUNTIFS($A$6:A2159,"Yes",$C$6:C2159,"School"),"")</f>
        <v/>
      </c>
    </row>
    <row r="2160" spans="1:8">
      <c r="A2160" s="13"/>
      <c r="B2160" s="1" t="s">
        <v>4261</v>
      </c>
      <c r="C2160" s="1" t="s">
        <v>24</v>
      </c>
      <c r="D2160" s="1" t="s">
        <v>4286</v>
      </c>
      <c r="E2160" s="1" t="s">
        <v>4287</v>
      </c>
      <c r="F2160" s="2">
        <v>459</v>
      </c>
      <c r="G2160" s="3">
        <v>66.900000000000006</v>
      </c>
      <c r="H2160" s="4" t="str">
        <f>IF(AND(A2160="Yes",C2160="School"),COUNTIFS($A$6:A2160,"Yes",$C$6:C2160,"School"),"")</f>
        <v/>
      </c>
    </row>
    <row r="2161" spans="1:8">
      <c r="A2161" s="13"/>
      <c r="B2161" s="1" t="s">
        <v>4261</v>
      </c>
      <c r="C2161" s="1" t="s">
        <v>24</v>
      </c>
      <c r="D2161" s="1" t="s">
        <v>4288</v>
      </c>
      <c r="E2161" s="1" t="s">
        <v>4289</v>
      </c>
      <c r="F2161" s="2">
        <v>208</v>
      </c>
      <c r="G2161" s="3">
        <v>45.7</v>
      </c>
      <c r="H2161" s="4" t="str">
        <f>IF(AND(A2161="Yes",C2161="School"),COUNTIFS($A$6:A2161,"Yes",$C$6:C2161,"School"),"")</f>
        <v/>
      </c>
    </row>
    <row r="2162" spans="1:8">
      <c r="A2162" s="13"/>
      <c r="B2162" s="1" t="s">
        <v>4261</v>
      </c>
      <c r="C2162" s="1" t="s">
        <v>24</v>
      </c>
      <c r="D2162" s="1" t="s">
        <v>381</v>
      </c>
      <c r="E2162" s="1" t="s">
        <v>4290</v>
      </c>
      <c r="F2162" s="2">
        <v>450</v>
      </c>
      <c r="G2162" s="3">
        <v>80.7</v>
      </c>
      <c r="H2162" s="4" t="str">
        <f>IF(AND(A2162="Yes",C2162="School"),COUNTIFS($A$6:A2162,"Yes",$C$6:C2162,"School"),"")</f>
        <v/>
      </c>
    </row>
    <row r="2163" spans="1:8">
      <c r="A2163" s="13"/>
      <c r="B2163" s="1" t="s">
        <v>4261</v>
      </c>
      <c r="C2163" s="1" t="s">
        <v>24</v>
      </c>
      <c r="D2163" s="1" t="s">
        <v>4291</v>
      </c>
      <c r="E2163" s="1" t="s">
        <v>4292</v>
      </c>
      <c r="F2163" s="2">
        <v>485</v>
      </c>
      <c r="G2163" s="3">
        <v>66</v>
      </c>
      <c r="H2163" s="4" t="str">
        <f>IF(AND(A2163="Yes",C2163="School"),COUNTIFS($A$6:A2163,"Yes",$C$6:C2163,"School"),"")</f>
        <v/>
      </c>
    </row>
    <row r="2164" spans="1:8">
      <c r="A2164" s="13"/>
      <c r="B2164" s="1" t="s">
        <v>4261</v>
      </c>
      <c r="C2164" s="1" t="s">
        <v>24</v>
      </c>
      <c r="D2164" s="1" t="s">
        <v>4293</v>
      </c>
      <c r="E2164" s="1" t="s">
        <v>4294</v>
      </c>
      <c r="F2164" s="2">
        <v>385</v>
      </c>
      <c r="G2164" s="3">
        <v>70.099999999999994</v>
      </c>
      <c r="H2164" s="4" t="str">
        <f>IF(AND(A2164="Yes",C2164="School"),COUNTIFS($A$6:A2164,"Yes",$C$6:C2164,"School"),"")</f>
        <v/>
      </c>
    </row>
    <row r="2165" spans="1:8">
      <c r="A2165" s="13"/>
      <c r="B2165" s="1" t="s">
        <v>4261</v>
      </c>
      <c r="C2165" s="1" t="s">
        <v>24</v>
      </c>
      <c r="D2165" s="1" t="s">
        <v>4295</v>
      </c>
      <c r="E2165" s="1" t="s">
        <v>4296</v>
      </c>
      <c r="F2165" s="2">
        <v>361</v>
      </c>
      <c r="G2165" s="3">
        <v>71.2</v>
      </c>
      <c r="H2165" s="4" t="str">
        <f>IF(AND(A2165="Yes",C2165="School"),COUNTIFS($A$6:A2165,"Yes",$C$6:C2165,"School"),"")</f>
        <v/>
      </c>
    </row>
    <row r="2166" spans="1:8">
      <c r="A2166" s="13"/>
      <c r="B2166" s="1" t="s">
        <v>4297</v>
      </c>
      <c r="C2166" s="1" t="s">
        <v>40</v>
      </c>
      <c r="D2166" s="1" t="s">
        <v>41</v>
      </c>
      <c r="E2166" s="1" t="s">
        <v>4298</v>
      </c>
      <c r="F2166" s="2">
        <v>5206</v>
      </c>
      <c r="G2166" s="3">
        <v>74</v>
      </c>
      <c r="H2166" s="4" t="str">
        <f>IF(AND(A2166="Yes",C2166="School"),COUNTIFS($A$6:A2166,"Yes",$C$6:C2166,"School"),"")</f>
        <v/>
      </c>
    </row>
    <row r="2167" spans="1:8">
      <c r="A2167" s="13"/>
      <c r="B2167" s="1" t="s">
        <v>4297</v>
      </c>
      <c r="C2167" s="1" t="s">
        <v>24</v>
      </c>
      <c r="D2167" s="1" t="s">
        <v>4299</v>
      </c>
      <c r="E2167" s="1" t="s">
        <v>4300</v>
      </c>
      <c r="F2167" s="2">
        <v>533</v>
      </c>
      <c r="G2167" s="3">
        <v>72</v>
      </c>
      <c r="H2167" s="4" t="str">
        <f>IF(AND(A2167="Yes",C2167="School"),COUNTIFS($A$6:A2167,"Yes",$C$6:C2167,"School"),"")</f>
        <v/>
      </c>
    </row>
    <row r="2168" spans="1:8">
      <c r="A2168" s="13"/>
      <c r="B2168" s="1" t="s">
        <v>4297</v>
      </c>
      <c r="C2168" s="1" t="s">
        <v>24</v>
      </c>
      <c r="D2168" s="1" t="s">
        <v>4301</v>
      </c>
      <c r="E2168" s="1" t="s">
        <v>4302</v>
      </c>
      <c r="F2168" s="2">
        <v>657</v>
      </c>
      <c r="G2168" s="3">
        <v>75.2</v>
      </c>
      <c r="H2168" s="4" t="str">
        <f>IF(AND(A2168="Yes",C2168="School"),COUNTIFS($A$6:A2168,"Yes",$C$6:C2168,"School"),"")</f>
        <v/>
      </c>
    </row>
    <row r="2169" spans="1:8">
      <c r="A2169" s="13"/>
      <c r="B2169" s="1" t="s">
        <v>4297</v>
      </c>
      <c r="C2169" s="1" t="s">
        <v>24</v>
      </c>
      <c r="D2169" s="1" t="s">
        <v>4303</v>
      </c>
      <c r="E2169" s="1" t="s">
        <v>4304</v>
      </c>
      <c r="F2169" s="2">
        <v>234</v>
      </c>
      <c r="G2169" s="3">
        <v>41.9</v>
      </c>
      <c r="H2169" s="4" t="str">
        <f>IF(AND(A2169="Yes",C2169="School"),COUNTIFS($A$6:A2169,"Yes",$C$6:C2169,"School"),"")</f>
        <v/>
      </c>
    </row>
    <row r="2170" spans="1:8">
      <c r="A2170" s="13"/>
      <c r="B2170" s="1" t="s">
        <v>4297</v>
      </c>
      <c r="C2170" s="1" t="s">
        <v>24</v>
      </c>
      <c r="D2170" s="1" t="s">
        <v>4305</v>
      </c>
      <c r="E2170" s="1" t="s">
        <v>4306</v>
      </c>
      <c r="F2170" s="2">
        <v>1204</v>
      </c>
      <c r="G2170" s="3">
        <v>71.599999999999994</v>
      </c>
      <c r="H2170" s="4" t="str">
        <f>IF(AND(A2170="Yes",C2170="School"),COUNTIFS($A$6:A2170,"Yes",$C$6:C2170,"School"),"")</f>
        <v/>
      </c>
    </row>
    <row r="2171" spans="1:8">
      <c r="A2171" s="13"/>
      <c r="B2171" s="1" t="s">
        <v>4297</v>
      </c>
      <c r="C2171" s="1" t="s">
        <v>24</v>
      </c>
      <c r="D2171" s="1" t="s">
        <v>4307</v>
      </c>
      <c r="E2171" s="1" t="s">
        <v>4308</v>
      </c>
      <c r="F2171" s="2">
        <v>134</v>
      </c>
      <c r="G2171" s="3">
        <v>90.3</v>
      </c>
      <c r="H2171" s="4" t="str">
        <f>IF(AND(A2171="Yes",C2171="School"),COUNTIFS($A$6:A2171,"Yes",$C$6:C2171,"School"),"")</f>
        <v/>
      </c>
    </row>
    <row r="2172" spans="1:8">
      <c r="A2172" s="13"/>
      <c r="B2172" s="1" t="s">
        <v>4297</v>
      </c>
      <c r="C2172" s="1" t="s">
        <v>24</v>
      </c>
      <c r="D2172" s="1" t="s">
        <v>4309</v>
      </c>
      <c r="E2172" s="1" t="s">
        <v>4310</v>
      </c>
      <c r="F2172" s="2">
        <v>641</v>
      </c>
      <c r="G2172" s="3">
        <v>77.400000000000006</v>
      </c>
      <c r="H2172" s="4" t="str">
        <f>IF(AND(A2172="Yes",C2172="School"),COUNTIFS($A$6:A2172,"Yes",$C$6:C2172,"School"),"")</f>
        <v/>
      </c>
    </row>
    <row r="2173" spans="1:8">
      <c r="A2173" s="13"/>
      <c r="B2173" s="1" t="s">
        <v>4297</v>
      </c>
      <c r="C2173" s="1" t="s">
        <v>24</v>
      </c>
      <c r="D2173" s="1" t="s">
        <v>4311</v>
      </c>
      <c r="E2173" s="1" t="s">
        <v>4312</v>
      </c>
      <c r="F2173" s="2">
        <v>565</v>
      </c>
      <c r="G2173" s="3">
        <v>72.2</v>
      </c>
      <c r="H2173" s="4" t="str">
        <f>IF(AND(A2173="Yes",C2173="School"),COUNTIFS($A$6:A2173,"Yes",$C$6:C2173,"School"),"")</f>
        <v/>
      </c>
    </row>
    <row r="2174" spans="1:8">
      <c r="A2174" s="13"/>
      <c r="B2174" s="1" t="s">
        <v>4297</v>
      </c>
      <c r="C2174" s="1" t="s">
        <v>24</v>
      </c>
      <c r="D2174" s="1" t="s">
        <v>4313</v>
      </c>
      <c r="E2174" s="1" t="s">
        <v>4314</v>
      </c>
      <c r="F2174" s="2">
        <v>333</v>
      </c>
      <c r="G2174" s="3">
        <v>79.900000000000006</v>
      </c>
      <c r="H2174" s="4" t="str">
        <f>IF(AND(A2174="Yes",C2174="School"),COUNTIFS($A$6:A2174,"Yes",$C$6:C2174,"School"),"")</f>
        <v/>
      </c>
    </row>
    <row r="2175" spans="1:8">
      <c r="A2175" s="13"/>
      <c r="B2175" s="1" t="s">
        <v>4297</v>
      </c>
      <c r="C2175" s="1" t="s">
        <v>24</v>
      </c>
      <c r="D2175" s="1" t="s">
        <v>4315</v>
      </c>
      <c r="E2175" s="1" t="s">
        <v>4316</v>
      </c>
      <c r="F2175" s="2">
        <v>425</v>
      </c>
      <c r="G2175" s="3">
        <v>80.7</v>
      </c>
      <c r="H2175" s="4" t="str">
        <f>IF(AND(A2175="Yes",C2175="School"),COUNTIFS($A$6:A2175,"Yes",$C$6:C2175,"School"),"")</f>
        <v/>
      </c>
    </row>
    <row r="2176" spans="1:8">
      <c r="A2176" s="13"/>
      <c r="B2176" s="1" t="s">
        <v>4297</v>
      </c>
      <c r="C2176" s="1" t="s">
        <v>24</v>
      </c>
      <c r="D2176" s="1" t="s">
        <v>4317</v>
      </c>
      <c r="E2176" s="1" t="s">
        <v>4318</v>
      </c>
      <c r="F2176" s="2">
        <v>480</v>
      </c>
      <c r="G2176" s="3">
        <v>79.400000000000006</v>
      </c>
      <c r="H2176" s="4" t="str">
        <f>IF(AND(A2176="Yes",C2176="School"),COUNTIFS($A$6:A2176,"Yes",$C$6:C2176,"School"),"")</f>
        <v/>
      </c>
    </row>
    <row r="2177" spans="1:8">
      <c r="A2177" s="13"/>
      <c r="B2177" s="1" t="s">
        <v>4319</v>
      </c>
      <c r="C2177" s="1" t="s">
        <v>24</v>
      </c>
      <c r="D2177" s="1" t="s">
        <v>4319</v>
      </c>
      <c r="E2177" s="1" t="s">
        <v>4320</v>
      </c>
      <c r="F2177" s="2">
        <v>516</v>
      </c>
      <c r="G2177" s="3">
        <v>49</v>
      </c>
      <c r="H2177" s="4" t="str">
        <f>IF(AND(A2177="Yes",C2177="School"),COUNTIFS($A$6:A2177,"Yes",$C$6:C2177,"School"),"")</f>
        <v/>
      </c>
    </row>
    <row r="2178" spans="1:8">
      <c r="A2178" s="13"/>
      <c r="B2178" s="1" t="s">
        <v>4321</v>
      </c>
      <c r="C2178" s="1" t="s">
        <v>24</v>
      </c>
      <c r="D2178" s="1" t="s">
        <v>4321</v>
      </c>
      <c r="E2178" s="1" t="s">
        <v>4322</v>
      </c>
      <c r="F2178" s="2">
        <v>83</v>
      </c>
      <c r="G2178" s="3">
        <v>55.4</v>
      </c>
      <c r="H2178" s="4" t="str">
        <f>IF(AND(A2178="Yes",C2178="School"),COUNTIFS($A$6:A2178,"Yes",$C$6:C2178,"School"),"")</f>
        <v/>
      </c>
    </row>
    <row r="2179" spans="1:8">
      <c r="A2179" s="13"/>
      <c r="B2179" s="1" t="s">
        <v>4323</v>
      </c>
      <c r="C2179" s="1" t="s">
        <v>24</v>
      </c>
      <c r="D2179" s="1" t="s">
        <v>4323</v>
      </c>
      <c r="E2179" s="1" t="s">
        <v>4324</v>
      </c>
      <c r="F2179" s="2">
        <v>1099</v>
      </c>
      <c r="G2179" s="3">
        <v>14.7</v>
      </c>
      <c r="H2179" s="4" t="str">
        <f>IF(AND(A2179="Yes",C2179="School"),COUNTIFS($A$6:A2179,"Yes",$C$6:C2179,"School"),"")</f>
        <v/>
      </c>
    </row>
    <row r="2180" spans="1:8">
      <c r="A2180" s="13"/>
      <c r="B2180" s="1" t="s">
        <v>4325</v>
      </c>
      <c r="C2180" s="1" t="s">
        <v>24</v>
      </c>
      <c r="D2180" s="1" t="s">
        <v>4325</v>
      </c>
      <c r="E2180" s="1" t="s">
        <v>4326</v>
      </c>
      <c r="F2180" s="2">
        <v>212</v>
      </c>
      <c r="G2180" s="3">
        <v>24.5</v>
      </c>
      <c r="H2180" s="4" t="str">
        <f>IF(AND(A2180="Yes",C2180="School"),COUNTIFS($A$6:A2180,"Yes",$C$6:C2180,"School"),"")</f>
        <v/>
      </c>
    </row>
    <row r="2181" spans="1:8">
      <c r="A2181" s="13"/>
      <c r="B2181" s="1" t="s">
        <v>4327</v>
      </c>
      <c r="C2181" s="1" t="s">
        <v>24</v>
      </c>
      <c r="D2181" s="1" t="s">
        <v>4327</v>
      </c>
      <c r="E2181" s="1" t="s">
        <v>4328</v>
      </c>
      <c r="F2181" s="2">
        <v>416</v>
      </c>
      <c r="G2181" s="3">
        <v>23.8</v>
      </c>
      <c r="H2181" s="4" t="str">
        <f>IF(AND(A2181="Yes",C2181="School"),COUNTIFS($A$6:A2181,"Yes",$C$6:C2181,"School"),"")</f>
        <v/>
      </c>
    </row>
    <row r="2182" spans="1:8">
      <c r="A2182" s="13"/>
      <c r="B2182" s="1" t="s">
        <v>4329</v>
      </c>
      <c r="C2182" s="1" t="s">
        <v>24</v>
      </c>
      <c r="D2182" s="1" t="s">
        <v>4329</v>
      </c>
      <c r="E2182" s="1" t="s">
        <v>4330</v>
      </c>
      <c r="F2182" s="2">
        <v>881</v>
      </c>
      <c r="G2182" s="3">
        <v>47.6</v>
      </c>
      <c r="H2182" s="4" t="str">
        <f>IF(AND(A2182="Yes",C2182="School"),COUNTIFS($A$6:A2182,"Yes",$C$6:C2182,"School"),"")</f>
        <v/>
      </c>
    </row>
    <row r="2183" spans="1:8">
      <c r="A2183" s="13"/>
      <c r="B2183" s="1" t="s">
        <v>4331</v>
      </c>
      <c r="C2183" s="1" t="s">
        <v>40</v>
      </c>
      <c r="D2183" s="1" t="s">
        <v>41</v>
      </c>
      <c r="E2183" s="1" t="s">
        <v>4332</v>
      </c>
      <c r="F2183" s="2">
        <v>8604</v>
      </c>
      <c r="G2183" s="3">
        <v>51.8</v>
      </c>
      <c r="H2183" s="4" t="str">
        <f>IF(AND(A2183="Yes",C2183="School"),COUNTIFS($A$6:A2183,"Yes",$C$6:C2183,"School"),"")</f>
        <v/>
      </c>
    </row>
    <row r="2184" spans="1:8">
      <c r="A2184" s="13"/>
      <c r="B2184" s="1" t="s">
        <v>4331</v>
      </c>
      <c r="C2184" s="1" t="s">
        <v>24</v>
      </c>
      <c r="D2184" s="1" t="s">
        <v>4333</v>
      </c>
      <c r="E2184" s="1" t="s">
        <v>4334</v>
      </c>
      <c r="F2184" s="2">
        <v>370</v>
      </c>
      <c r="G2184" s="3">
        <v>64.900000000000006</v>
      </c>
      <c r="H2184" s="4" t="str">
        <f>IF(AND(A2184="Yes",C2184="School"),COUNTIFS($A$6:A2184,"Yes",$C$6:C2184,"School"),"")</f>
        <v/>
      </c>
    </row>
    <row r="2185" spans="1:8">
      <c r="A2185" s="13"/>
      <c r="B2185" s="1" t="s">
        <v>4331</v>
      </c>
      <c r="C2185" s="1" t="s">
        <v>24</v>
      </c>
      <c r="D2185" s="1" t="s">
        <v>4335</v>
      </c>
      <c r="E2185" s="1" t="s">
        <v>4336</v>
      </c>
      <c r="F2185" s="2">
        <v>334</v>
      </c>
      <c r="G2185" s="3">
        <v>70.7</v>
      </c>
      <c r="H2185" s="4" t="str">
        <f>IF(AND(A2185="Yes",C2185="School"),COUNTIFS($A$6:A2185,"Yes",$C$6:C2185,"School"),"")</f>
        <v/>
      </c>
    </row>
    <row r="2186" spans="1:8">
      <c r="A2186" s="13"/>
      <c r="B2186" s="1" t="s">
        <v>4331</v>
      </c>
      <c r="C2186" s="1" t="s">
        <v>24</v>
      </c>
      <c r="D2186" s="1" t="s">
        <v>4337</v>
      </c>
      <c r="E2186" s="1" t="s">
        <v>4338</v>
      </c>
      <c r="F2186" s="2">
        <v>402</v>
      </c>
      <c r="G2186" s="3">
        <v>51.2</v>
      </c>
      <c r="H2186" s="4" t="str">
        <f>IF(AND(A2186="Yes",C2186="School"),COUNTIFS($A$6:A2186,"Yes",$C$6:C2186,"School"),"")</f>
        <v/>
      </c>
    </row>
    <row r="2187" spans="1:8">
      <c r="A2187" s="13"/>
      <c r="B2187" s="1" t="s">
        <v>4331</v>
      </c>
      <c r="C2187" s="1" t="s">
        <v>24</v>
      </c>
      <c r="D2187" s="1" t="s">
        <v>4339</v>
      </c>
      <c r="E2187" s="1" t="s">
        <v>4340</v>
      </c>
      <c r="F2187" s="2">
        <v>425</v>
      </c>
      <c r="G2187" s="3">
        <v>57.4</v>
      </c>
      <c r="H2187" s="4" t="str">
        <f>IF(AND(A2187="Yes",C2187="School"),COUNTIFS($A$6:A2187,"Yes",$C$6:C2187,"School"),"")</f>
        <v/>
      </c>
    </row>
    <row r="2188" spans="1:8">
      <c r="A2188" s="13"/>
      <c r="B2188" s="1" t="s">
        <v>4331</v>
      </c>
      <c r="C2188" s="1" t="s">
        <v>24</v>
      </c>
      <c r="D2188" s="1" t="s">
        <v>1670</v>
      </c>
      <c r="E2188" s="1" t="s">
        <v>4341</v>
      </c>
      <c r="F2188" s="2">
        <v>501</v>
      </c>
      <c r="G2188" s="3">
        <v>78</v>
      </c>
      <c r="H2188" s="4" t="str">
        <f>IF(AND(A2188="Yes",C2188="School"),COUNTIFS($A$6:A2188,"Yes",$C$6:C2188,"School"),"")</f>
        <v/>
      </c>
    </row>
    <row r="2189" spans="1:8">
      <c r="A2189" s="13"/>
      <c r="B2189" s="1" t="s">
        <v>4331</v>
      </c>
      <c r="C2189" s="1" t="s">
        <v>24</v>
      </c>
      <c r="D2189" s="1" t="s">
        <v>4342</v>
      </c>
      <c r="E2189" s="1" t="s">
        <v>4343</v>
      </c>
      <c r="F2189" s="2">
        <v>278</v>
      </c>
      <c r="G2189" s="3">
        <v>69.8</v>
      </c>
      <c r="H2189" s="4" t="str">
        <f>IF(AND(A2189="Yes",C2189="School"),COUNTIFS($A$6:A2189,"Yes",$C$6:C2189,"School"),"")</f>
        <v/>
      </c>
    </row>
    <row r="2190" spans="1:8">
      <c r="A2190" s="13"/>
      <c r="B2190" s="1" t="s">
        <v>4331</v>
      </c>
      <c r="C2190" s="1" t="s">
        <v>24</v>
      </c>
      <c r="D2190" s="1" t="s">
        <v>4344</v>
      </c>
      <c r="E2190" s="1" t="s">
        <v>4345</v>
      </c>
      <c r="F2190" s="2">
        <v>459</v>
      </c>
      <c r="G2190" s="3">
        <v>34.200000000000003</v>
      </c>
      <c r="H2190" s="4" t="str">
        <f>IF(AND(A2190="Yes",C2190="School"),COUNTIFS($A$6:A2190,"Yes",$C$6:C2190,"School"),"")</f>
        <v/>
      </c>
    </row>
    <row r="2191" spans="1:8">
      <c r="A2191" s="13"/>
      <c r="B2191" s="1" t="s">
        <v>4331</v>
      </c>
      <c r="C2191" s="1" t="s">
        <v>24</v>
      </c>
      <c r="D2191" s="1" t="s">
        <v>4346</v>
      </c>
      <c r="E2191" s="1" t="s">
        <v>4347</v>
      </c>
      <c r="F2191" s="2">
        <v>480</v>
      </c>
      <c r="G2191" s="3">
        <v>30.4</v>
      </c>
      <c r="H2191" s="4" t="str">
        <f>IF(AND(A2191="Yes",C2191="School"),COUNTIFS($A$6:A2191,"Yes",$C$6:C2191,"School"),"")</f>
        <v/>
      </c>
    </row>
    <row r="2192" spans="1:8">
      <c r="A2192" s="13"/>
      <c r="B2192" s="1" t="s">
        <v>4331</v>
      </c>
      <c r="C2192" s="1" t="s">
        <v>24</v>
      </c>
      <c r="D2192" s="1" t="s">
        <v>4348</v>
      </c>
      <c r="E2192" s="1" t="s">
        <v>4349</v>
      </c>
      <c r="F2192" s="2">
        <v>207</v>
      </c>
      <c r="G2192" s="3">
        <v>44.9</v>
      </c>
      <c r="H2192" s="4" t="str">
        <f>IF(AND(A2192="Yes",C2192="School"),COUNTIFS($A$6:A2192,"Yes",$C$6:C2192,"School"),"")</f>
        <v/>
      </c>
    </row>
    <row r="2193" spans="1:8">
      <c r="A2193" s="13"/>
      <c r="B2193" s="1" t="s">
        <v>4331</v>
      </c>
      <c r="C2193" s="1" t="s">
        <v>24</v>
      </c>
      <c r="D2193" s="1" t="s">
        <v>4350</v>
      </c>
      <c r="E2193" s="1" t="s">
        <v>4351</v>
      </c>
      <c r="F2193" s="2">
        <v>486</v>
      </c>
      <c r="G2193" s="3">
        <v>53.5</v>
      </c>
      <c r="H2193" s="4" t="str">
        <f>IF(AND(A2193="Yes",C2193="School"),COUNTIFS($A$6:A2193,"Yes",$C$6:C2193,"School"),"")</f>
        <v/>
      </c>
    </row>
    <row r="2194" spans="1:8">
      <c r="A2194" s="13"/>
      <c r="B2194" s="1" t="s">
        <v>4331</v>
      </c>
      <c r="C2194" s="1" t="s">
        <v>24</v>
      </c>
      <c r="D2194" s="1" t="s">
        <v>4352</v>
      </c>
      <c r="E2194" s="1" t="s">
        <v>4353</v>
      </c>
      <c r="F2194" s="2">
        <v>455</v>
      </c>
      <c r="G2194" s="3">
        <v>65.3</v>
      </c>
      <c r="H2194" s="4" t="str">
        <f>IF(AND(A2194="Yes",C2194="School"),COUNTIFS($A$6:A2194,"Yes",$C$6:C2194,"School"),"")</f>
        <v/>
      </c>
    </row>
    <row r="2195" spans="1:8">
      <c r="A2195" s="13"/>
      <c r="B2195" s="1" t="s">
        <v>4331</v>
      </c>
      <c r="C2195" s="1" t="s">
        <v>24</v>
      </c>
      <c r="D2195" s="1" t="s">
        <v>4354</v>
      </c>
      <c r="E2195" s="1" t="s">
        <v>4355</v>
      </c>
      <c r="F2195" s="2">
        <v>328</v>
      </c>
      <c r="G2195" s="3">
        <v>53.7</v>
      </c>
      <c r="H2195" s="4" t="str">
        <f>IF(AND(A2195="Yes",C2195="School"),COUNTIFS($A$6:A2195,"Yes",$C$6:C2195,"School"),"")</f>
        <v/>
      </c>
    </row>
    <row r="2196" spans="1:8">
      <c r="A2196" s="13"/>
      <c r="B2196" s="1" t="s">
        <v>4331</v>
      </c>
      <c r="C2196" s="1" t="s">
        <v>24</v>
      </c>
      <c r="D2196" s="1" t="s">
        <v>4356</v>
      </c>
      <c r="E2196" s="1" t="s">
        <v>4357</v>
      </c>
      <c r="F2196" s="2">
        <v>346</v>
      </c>
      <c r="G2196" s="3">
        <v>26.3</v>
      </c>
      <c r="H2196" s="4" t="str">
        <f>IF(AND(A2196="Yes",C2196="School"),COUNTIFS($A$6:A2196,"Yes",$C$6:C2196,"School"),"")</f>
        <v/>
      </c>
    </row>
    <row r="2197" spans="1:8">
      <c r="A2197" s="13"/>
      <c r="B2197" s="1" t="s">
        <v>4331</v>
      </c>
      <c r="C2197" s="1" t="s">
        <v>24</v>
      </c>
      <c r="D2197" s="1" t="s">
        <v>4358</v>
      </c>
      <c r="E2197" s="1" t="s">
        <v>4359</v>
      </c>
      <c r="F2197" s="2">
        <v>269</v>
      </c>
      <c r="G2197" s="3">
        <v>37.9</v>
      </c>
      <c r="H2197" s="4" t="str">
        <f>IF(AND(A2197="Yes",C2197="School"),COUNTIFS($A$6:A2197,"Yes",$C$6:C2197,"School"),"")</f>
        <v/>
      </c>
    </row>
    <row r="2198" spans="1:8">
      <c r="A2198" s="13"/>
      <c r="B2198" s="1" t="s">
        <v>4331</v>
      </c>
      <c r="C2198" s="1" t="s">
        <v>24</v>
      </c>
      <c r="D2198" s="1" t="s">
        <v>4360</v>
      </c>
      <c r="E2198" s="1" t="s">
        <v>4361</v>
      </c>
      <c r="F2198" s="2">
        <v>442</v>
      </c>
      <c r="G2198" s="3">
        <v>60.2</v>
      </c>
      <c r="H2198" s="4" t="str">
        <f>IF(AND(A2198="Yes",C2198="School"),COUNTIFS($A$6:A2198,"Yes",$C$6:C2198,"School"),"")</f>
        <v/>
      </c>
    </row>
    <row r="2199" spans="1:8">
      <c r="A2199" s="13"/>
      <c r="B2199" s="1" t="s">
        <v>4331</v>
      </c>
      <c r="C2199" s="1" t="s">
        <v>24</v>
      </c>
      <c r="D2199" s="1" t="s">
        <v>4362</v>
      </c>
      <c r="E2199" s="1" t="s">
        <v>4363</v>
      </c>
      <c r="F2199" s="2">
        <v>373</v>
      </c>
      <c r="G2199" s="3">
        <v>67.3</v>
      </c>
      <c r="H2199" s="4" t="str">
        <f>IF(AND(A2199="Yes",C2199="School"),COUNTIFS($A$6:A2199,"Yes",$C$6:C2199,"School"),"")</f>
        <v/>
      </c>
    </row>
    <row r="2200" spans="1:8">
      <c r="A2200" s="13"/>
      <c r="B2200" s="1" t="s">
        <v>4331</v>
      </c>
      <c r="C2200" s="1" t="s">
        <v>24</v>
      </c>
      <c r="D2200" s="1" t="s">
        <v>4364</v>
      </c>
      <c r="E2200" s="1" t="s">
        <v>4365</v>
      </c>
      <c r="F2200" s="2">
        <v>483</v>
      </c>
      <c r="G2200" s="3">
        <v>47.2</v>
      </c>
      <c r="H2200" s="4" t="str">
        <f>IF(AND(A2200="Yes",C2200="School"),COUNTIFS($A$6:A2200,"Yes",$C$6:C2200,"School"),"")</f>
        <v/>
      </c>
    </row>
    <row r="2201" spans="1:8">
      <c r="A2201" s="13"/>
      <c r="B2201" s="1" t="s">
        <v>4331</v>
      </c>
      <c r="C2201" s="1" t="s">
        <v>24</v>
      </c>
      <c r="D2201" s="1" t="s">
        <v>4366</v>
      </c>
      <c r="E2201" s="1" t="s">
        <v>4367</v>
      </c>
      <c r="F2201" s="2">
        <v>10</v>
      </c>
      <c r="G2201" s="3">
        <v>90</v>
      </c>
      <c r="H2201" s="4" t="str">
        <f>IF(AND(A2201="Yes",C2201="School"),COUNTIFS($A$6:A2201,"Yes",$C$6:C2201,"School"),"")</f>
        <v/>
      </c>
    </row>
    <row r="2202" spans="1:8">
      <c r="A2202" s="13"/>
      <c r="B2202" s="1" t="s">
        <v>4331</v>
      </c>
      <c r="C2202" s="1" t="s">
        <v>24</v>
      </c>
      <c r="D2202" s="1" t="s">
        <v>4368</v>
      </c>
      <c r="E2202" s="1" t="s">
        <v>4369</v>
      </c>
      <c r="F2202" s="2">
        <v>98</v>
      </c>
      <c r="G2202" s="3">
        <v>49</v>
      </c>
      <c r="H2202" s="4" t="str">
        <f>IF(AND(A2202="Yes",C2202="School"),COUNTIFS($A$6:A2202,"Yes",$C$6:C2202,"School"),"")</f>
        <v/>
      </c>
    </row>
    <row r="2203" spans="1:8">
      <c r="A2203" s="13"/>
      <c r="B2203" s="1" t="s">
        <v>4331</v>
      </c>
      <c r="C2203" s="1" t="s">
        <v>24</v>
      </c>
      <c r="D2203" s="1" t="s">
        <v>4370</v>
      </c>
      <c r="E2203" s="1" t="s">
        <v>4371</v>
      </c>
      <c r="F2203" s="2">
        <v>189</v>
      </c>
      <c r="G2203" s="3">
        <v>37.6</v>
      </c>
      <c r="H2203" s="4" t="str">
        <f>IF(AND(A2203="Yes",C2203="School"),COUNTIFS($A$6:A2203,"Yes",$C$6:C2203,"School"),"")</f>
        <v/>
      </c>
    </row>
    <row r="2204" spans="1:8">
      <c r="A2204" s="13"/>
      <c r="B2204" s="1" t="s">
        <v>4331</v>
      </c>
      <c r="C2204" s="1" t="s">
        <v>24</v>
      </c>
      <c r="D2204" s="1" t="s">
        <v>4372</v>
      </c>
      <c r="E2204" s="1" t="s">
        <v>4373</v>
      </c>
      <c r="F2204" s="2">
        <v>180</v>
      </c>
      <c r="G2204" s="3">
        <v>41.7</v>
      </c>
      <c r="H2204" s="4" t="str">
        <f>IF(AND(A2204="Yes",C2204="School"),COUNTIFS($A$6:A2204,"Yes",$C$6:C2204,"School"),"")</f>
        <v/>
      </c>
    </row>
    <row r="2205" spans="1:8">
      <c r="A2205" s="13"/>
      <c r="B2205" s="1" t="s">
        <v>4331</v>
      </c>
      <c r="C2205" s="1" t="s">
        <v>24</v>
      </c>
      <c r="D2205" s="1" t="s">
        <v>4374</v>
      </c>
      <c r="E2205" s="1" t="s">
        <v>4375</v>
      </c>
      <c r="F2205" s="2">
        <v>780</v>
      </c>
      <c r="G2205" s="3">
        <v>43.7</v>
      </c>
      <c r="H2205" s="4" t="str">
        <f>IF(AND(A2205="Yes",C2205="School"),COUNTIFS($A$6:A2205,"Yes",$C$6:C2205,"School"),"")</f>
        <v/>
      </c>
    </row>
    <row r="2206" spans="1:8">
      <c r="A2206" s="13"/>
      <c r="B2206" s="1" t="s">
        <v>4331</v>
      </c>
      <c r="C2206" s="1" t="s">
        <v>24</v>
      </c>
      <c r="D2206" s="1" t="s">
        <v>4376</v>
      </c>
      <c r="E2206" s="1" t="s">
        <v>4377</v>
      </c>
      <c r="F2206" s="2">
        <v>709</v>
      </c>
      <c r="G2206" s="3">
        <v>46.7</v>
      </c>
      <c r="H2206" s="4" t="str">
        <f>IF(AND(A2206="Yes",C2206="School"),COUNTIFS($A$6:A2206,"Yes",$C$6:C2206,"School"),"")</f>
        <v/>
      </c>
    </row>
    <row r="2207" spans="1:8">
      <c r="A2207" s="13"/>
      <c r="B2207" s="1" t="s">
        <v>4378</v>
      </c>
      <c r="C2207" s="1" t="s">
        <v>24</v>
      </c>
      <c r="D2207" s="1" t="s">
        <v>4378</v>
      </c>
      <c r="E2207" s="1" t="s">
        <v>4379</v>
      </c>
      <c r="F2207" s="2">
        <v>881</v>
      </c>
      <c r="G2207" s="3">
        <v>20.5</v>
      </c>
      <c r="H2207" s="4" t="str">
        <f>IF(AND(A2207="Yes",C2207="School"),COUNTIFS($A$6:A2207,"Yes",$C$6:C2207,"School"),"")</f>
        <v/>
      </c>
    </row>
    <row r="2208" spans="1:8">
      <c r="A2208" s="13"/>
      <c r="B2208" s="1" t="s">
        <v>4378</v>
      </c>
      <c r="C2208" s="1" t="s">
        <v>24</v>
      </c>
      <c r="D2208" s="1" t="s">
        <v>4380</v>
      </c>
      <c r="E2208" s="1" t="s">
        <v>4381</v>
      </c>
      <c r="F2208" s="2">
        <v>24</v>
      </c>
      <c r="G2208" s="3">
        <v>25</v>
      </c>
      <c r="H2208" s="4" t="str">
        <f>IF(AND(A2208="Yes",C2208="School"),COUNTIFS($A$6:A2208,"Yes",$C$6:C2208,"School"),"")</f>
        <v/>
      </c>
    </row>
    <row r="2209" spans="1:8">
      <c r="A2209" s="13"/>
      <c r="B2209" s="1" t="s">
        <v>4382</v>
      </c>
      <c r="C2209" s="1" t="s">
        <v>24</v>
      </c>
      <c r="D2209" s="1" t="s">
        <v>4382</v>
      </c>
      <c r="E2209" s="1" t="s">
        <v>4383</v>
      </c>
      <c r="F2209" s="2">
        <v>327</v>
      </c>
      <c r="G2209" s="3">
        <v>69.7</v>
      </c>
      <c r="H2209" s="4" t="str">
        <f>IF(AND(A2209="Yes",C2209="School"),COUNTIFS($A$6:A2209,"Yes",$C$6:C2209,"School"),"")</f>
        <v/>
      </c>
    </row>
    <row r="2210" spans="1:8">
      <c r="A2210" s="13"/>
      <c r="B2210" s="1" t="s">
        <v>4384</v>
      </c>
      <c r="C2210" s="1" t="s">
        <v>24</v>
      </c>
      <c r="D2210" s="1" t="s">
        <v>4384</v>
      </c>
      <c r="E2210" s="1" t="s">
        <v>4385</v>
      </c>
      <c r="F2210" s="2">
        <v>687</v>
      </c>
      <c r="G2210" s="3">
        <v>9.9</v>
      </c>
      <c r="H2210" s="4" t="str">
        <f>IF(AND(A2210="Yes",C2210="School"),COUNTIFS($A$6:A2210,"Yes",$C$6:C2210,"School"),"")</f>
        <v/>
      </c>
    </row>
    <row r="2211" spans="1:8">
      <c r="A2211" s="13"/>
      <c r="B2211" s="1" t="s">
        <v>4386</v>
      </c>
      <c r="C2211" s="1" t="s">
        <v>24</v>
      </c>
      <c r="D2211" s="1" t="s">
        <v>4386</v>
      </c>
      <c r="E2211" s="1" t="s">
        <v>4387</v>
      </c>
      <c r="F2211" s="2">
        <v>301</v>
      </c>
      <c r="G2211" s="3">
        <v>70.400000000000006</v>
      </c>
      <c r="H2211" s="4" t="str">
        <f>IF(AND(A2211="Yes",C2211="School"),COUNTIFS($A$6:A2211,"Yes",$C$6:C2211,"School"),"")</f>
        <v/>
      </c>
    </row>
    <row r="2212" spans="1:8">
      <c r="A2212" s="13"/>
      <c r="B2212" s="1" t="s">
        <v>4388</v>
      </c>
      <c r="C2212" s="1" t="s">
        <v>40</v>
      </c>
      <c r="D2212" s="1" t="s">
        <v>41</v>
      </c>
      <c r="E2212" s="1" t="s">
        <v>4389</v>
      </c>
      <c r="F2212" s="2">
        <v>5298</v>
      </c>
      <c r="G2212" s="3">
        <v>49.3</v>
      </c>
      <c r="H2212" s="4" t="str">
        <f>IF(AND(A2212="Yes",C2212="School"),COUNTIFS($A$6:A2212,"Yes",$C$6:C2212,"School"),"")</f>
        <v/>
      </c>
    </row>
    <row r="2213" spans="1:8">
      <c r="A2213" s="13"/>
      <c r="B2213" s="1" t="s">
        <v>4388</v>
      </c>
      <c r="C2213" s="1" t="s">
        <v>24</v>
      </c>
      <c r="D2213" s="1" t="s">
        <v>4390</v>
      </c>
      <c r="E2213" s="1" t="s">
        <v>4391</v>
      </c>
      <c r="F2213" s="2">
        <v>634</v>
      </c>
      <c r="G2213" s="3">
        <v>40.1</v>
      </c>
      <c r="H2213" s="4" t="str">
        <f>IF(AND(A2213="Yes",C2213="School"),COUNTIFS($A$6:A2213,"Yes",$C$6:C2213,"School"),"")</f>
        <v/>
      </c>
    </row>
    <row r="2214" spans="1:8">
      <c r="A2214" s="13"/>
      <c r="B2214" s="1" t="s">
        <v>4388</v>
      </c>
      <c r="C2214" s="1" t="s">
        <v>24</v>
      </c>
      <c r="D2214" s="1" t="s">
        <v>4392</v>
      </c>
      <c r="E2214" s="1" t="s">
        <v>4393</v>
      </c>
      <c r="F2214" s="2">
        <v>166</v>
      </c>
      <c r="G2214" s="3">
        <v>41.6</v>
      </c>
      <c r="H2214" s="4" t="str">
        <f>IF(AND(A2214="Yes",C2214="School"),COUNTIFS($A$6:A2214,"Yes",$C$6:C2214,"School"),"")</f>
        <v/>
      </c>
    </row>
    <row r="2215" spans="1:8">
      <c r="A2215" s="13"/>
      <c r="B2215" s="1" t="s">
        <v>4388</v>
      </c>
      <c r="C2215" s="1" t="s">
        <v>24</v>
      </c>
      <c r="D2215" s="1" t="s">
        <v>4394</v>
      </c>
      <c r="E2215" s="1" t="s">
        <v>4395</v>
      </c>
      <c r="F2215" s="2">
        <v>368</v>
      </c>
      <c r="G2215" s="3">
        <v>64.900000000000006</v>
      </c>
      <c r="H2215" s="4" t="str">
        <f>IF(AND(A2215="Yes",C2215="School"),COUNTIFS($A$6:A2215,"Yes",$C$6:C2215,"School"),"")</f>
        <v/>
      </c>
    </row>
    <row r="2216" spans="1:8">
      <c r="A2216" s="13"/>
      <c r="B2216" s="1" t="s">
        <v>4388</v>
      </c>
      <c r="C2216" s="1" t="s">
        <v>24</v>
      </c>
      <c r="D2216" s="1" t="s">
        <v>4396</v>
      </c>
      <c r="E2216" s="1" t="s">
        <v>4397</v>
      </c>
      <c r="F2216" s="2">
        <v>213</v>
      </c>
      <c r="G2216" s="3">
        <v>53.5</v>
      </c>
      <c r="H2216" s="4" t="str">
        <f>IF(AND(A2216="Yes",C2216="School"),COUNTIFS($A$6:A2216,"Yes",$C$6:C2216,"School"),"")</f>
        <v/>
      </c>
    </row>
    <row r="2217" spans="1:8">
      <c r="A2217" s="13"/>
      <c r="B2217" s="1" t="s">
        <v>4388</v>
      </c>
      <c r="C2217" s="1" t="s">
        <v>24</v>
      </c>
      <c r="D2217" s="1" t="s">
        <v>4398</v>
      </c>
      <c r="E2217" s="1" t="s">
        <v>4399</v>
      </c>
      <c r="F2217" s="2">
        <v>330</v>
      </c>
      <c r="G2217" s="3">
        <v>42.7</v>
      </c>
      <c r="H2217" s="4" t="str">
        <f>IF(AND(A2217="Yes",C2217="School"),COUNTIFS($A$6:A2217,"Yes",$C$6:C2217,"School"),"")</f>
        <v/>
      </c>
    </row>
    <row r="2218" spans="1:8">
      <c r="A2218" s="13"/>
      <c r="B2218" s="1" t="s">
        <v>4388</v>
      </c>
      <c r="C2218" s="1" t="s">
        <v>24</v>
      </c>
      <c r="D2218" s="1" t="s">
        <v>4400</v>
      </c>
      <c r="E2218" s="1" t="s">
        <v>4401</v>
      </c>
      <c r="F2218" s="2">
        <v>198</v>
      </c>
      <c r="G2218" s="3">
        <v>59.6</v>
      </c>
      <c r="H2218" s="4" t="str">
        <f>IF(AND(A2218="Yes",C2218="School"),COUNTIFS($A$6:A2218,"Yes",$C$6:C2218,"School"),"")</f>
        <v/>
      </c>
    </row>
    <row r="2219" spans="1:8">
      <c r="A2219" s="13"/>
      <c r="B2219" s="1" t="s">
        <v>4388</v>
      </c>
      <c r="C2219" s="1" t="s">
        <v>24</v>
      </c>
      <c r="D2219" s="1" t="s">
        <v>4402</v>
      </c>
      <c r="E2219" s="1" t="s">
        <v>4403</v>
      </c>
      <c r="F2219" s="2">
        <v>248</v>
      </c>
      <c r="G2219" s="3">
        <v>53.2</v>
      </c>
      <c r="H2219" s="4" t="str">
        <f>IF(AND(A2219="Yes",C2219="School"),COUNTIFS($A$6:A2219,"Yes",$C$6:C2219,"School"),"")</f>
        <v/>
      </c>
    </row>
    <row r="2220" spans="1:8">
      <c r="A2220" s="13"/>
      <c r="B2220" s="1" t="s">
        <v>4388</v>
      </c>
      <c r="C2220" s="1" t="s">
        <v>24</v>
      </c>
      <c r="D2220" s="1" t="s">
        <v>4404</v>
      </c>
      <c r="E2220" s="1" t="s">
        <v>4405</v>
      </c>
      <c r="F2220" s="2">
        <v>203</v>
      </c>
      <c r="G2220" s="3">
        <v>55.7</v>
      </c>
      <c r="H2220" s="4" t="str">
        <f>IF(AND(A2220="Yes",C2220="School"),COUNTIFS($A$6:A2220,"Yes",$C$6:C2220,"School"),"")</f>
        <v/>
      </c>
    </row>
    <row r="2221" spans="1:8">
      <c r="A2221" s="13"/>
      <c r="B2221" s="1" t="s">
        <v>4388</v>
      </c>
      <c r="C2221" s="1" t="s">
        <v>24</v>
      </c>
      <c r="D2221" s="1" t="s">
        <v>4245</v>
      </c>
      <c r="E2221" s="1" t="s">
        <v>4406</v>
      </c>
      <c r="F2221" s="2">
        <v>130</v>
      </c>
      <c r="G2221" s="3">
        <v>54.6</v>
      </c>
      <c r="H2221" s="4" t="str">
        <f>IF(AND(A2221="Yes",C2221="School"),COUNTIFS($A$6:A2221,"Yes",$C$6:C2221,"School"),"")</f>
        <v/>
      </c>
    </row>
    <row r="2222" spans="1:8">
      <c r="A2222" s="13"/>
      <c r="B2222" s="1" t="s">
        <v>4388</v>
      </c>
      <c r="C2222" s="1" t="s">
        <v>24</v>
      </c>
      <c r="D2222" s="1" t="s">
        <v>4407</v>
      </c>
      <c r="E2222" s="1" t="s">
        <v>4408</v>
      </c>
      <c r="F2222" s="2">
        <v>503</v>
      </c>
      <c r="G2222" s="3">
        <v>38.6</v>
      </c>
      <c r="H2222" s="4" t="str">
        <f>IF(AND(A2222="Yes",C2222="School"),COUNTIFS($A$6:A2222,"Yes",$C$6:C2222,"School"),"")</f>
        <v/>
      </c>
    </row>
    <row r="2223" spans="1:8">
      <c r="A2223" s="13"/>
      <c r="B2223" s="1" t="s">
        <v>4388</v>
      </c>
      <c r="C2223" s="1" t="s">
        <v>24</v>
      </c>
      <c r="D2223" s="1" t="s">
        <v>4409</v>
      </c>
      <c r="E2223" s="1" t="s">
        <v>4410</v>
      </c>
      <c r="F2223" s="2">
        <v>185</v>
      </c>
      <c r="G2223" s="3">
        <v>59.5</v>
      </c>
      <c r="H2223" s="4" t="str">
        <f>IF(AND(A2223="Yes",C2223="School"),COUNTIFS($A$6:A2223,"Yes",$C$6:C2223,"School"),"")</f>
        <v/>
      </c>
    </row>
    <row r="2224" spans="1:8">
      <c r="A2224" s="13"/>
      <c r="B2224" s="1" t="s">
        <v>4388</v>
      </c>
      <c r="C2224" s="1" t="s">
        <v>24</v>
      </c>
      <c r="D2224" s="1" t="s">
        <v>4411</v>
      </c>
      <c r="E2224" s="1" t="s">
        <v>4412</v>
      </c>
      <c r="F2224" s="2">
        <v>482</v>
      </c>
      <c r="G2224" s="3">
        <v>52.5</v>
      </c>
      <c r="H2224" s="4" t="str">
        <f>IF(AND(A2224="Yes",C2224="School"),COUNTIFS($A$6:A2224,"Yes",$C$6:C2224,"School"),"")</f>
        <v/>
      </c>
    </row>
    <row r="2225" spans="1:8">
      <c r="A2225" s="13"/>
      <c r="B2225" s="1" t="s">
        <v>4388</v>
      </c>
      <c r="C2225" s="1" t="s">
        <v>24</v>
      </c>
      <c r="D2225" s="1" t="s">
        <v>4413</v>
      </c>
      <c r="E2225" s="1" t="s">
        <v>4414</v>
      </c>
      <c r="F2225" s="2">
        <v>379</v>
      </c>
      <c r="G2225" s="3">
        <v>49.6</v>
      </c>
      <c r="H2225" s="4" t="str">
        <f>IF(AND(A2225="Yes",C2225="School"),COUNTIFS($A$6:A2225,"Yes",$C$6:C2225,"School"),"")</f>
        <v/>
      </c>
    </row>
    <row r="2226" spans="1:8">
      <c r="A2226" s="13"/>
      <c r="B2226" s="1" t="s">
        <v>4388</v>
      </c>
      <c r="C2226" s="1" t="s">
        <v>24</v>
      </c>
      <c r="D2226" s="1" t="s">
        <v>4415</v>
      </c>
      <c r="E2226" s="1" t="s">
        <v>4416</v>
      </c>
      <c r="F2226" s="2">
        <v>58</v>
      </c>
      <c r="G2226" s="3">
        <v>69</v>
      </c>
      <c r="H2226" s="4" t="str">
        <f>IF(AND(A2226="Yes",C2226="School"),COUNTIFS($A$6:A2226,"Yes",$C$6:C2226,"School"),"")</f>
        <v/>
      </c>
    </row>
    <row r="2227" spans="1:8">
      <c r="A2227" s="13"/>
      <c r="B2227" s="1" t="s">
        <v>4388</v>
      </c>
      <c r="C2227" s="1" t="s">
        <v>24</v>
      </c>
      <c r="D2227" s="1" t="s">
        <v>4417</v>
      </c>
      <c r="E2227" s="1" t="s">
        <v>4418</v>
      </c>
      <c r="F2227" s="2">
        <v>151</v>
      </c>
      <c r="G2227" s="3">
        <v>41.1</v>
      </c>
      <c r="H2227" s="4" t="str">
        <f>IF(AND(A2227="Yes",C2227="School"),COUNTIFS($A$6:A2227,"Yes",$C$6:C2227,"School"),"")</f>
        <v/>
      </c>
    </row>
    <row r="2228" spans="1:8">
      <c r="A2228" s="13"/>
      <c r="B2228" s="1" t="s">
        <v>4388</v>
      </c>
      <c r="C2228" s="1" t="s">
        <v>24</v>
      </c>
      <c r="D2228" s="1" t="s">
        <v>4419</v>
      </c>
      <c r="E2228" s="1" t="s">
        <v>4420</v>
      </c>
      <c r="F2228" s="2">
        <v>282</v>
      </c>
      <c r="G2228" s="3">
        <v>57.8</v>
      </c>
      <c r="H2228" s="4" t="str">
        <f>IF(AND(A2228="Yes",C2228="School"),COUNTIFS($A$6:A2228,"Yes",$C$6:C2228,"School"),"")</f>
        <v/>
      </c>
    </row>
    <row r="2229" spans="1:8">
      <c r="A2229" s="13"/>
      <c r="B2229" s="1" t="s">
        <v>4388</v>
      </c>
      <c r="C2229" s="1" t="s">
        <v>24</v>
      </c>
      <c r="D2229" s="1" t="s">
        <v>4421</v>
      </c>
      <c r="E2229" s="1" t="s">
        <v>4422</v>
      </c>
      <c r="F2229" s="2">
        <v>768</v>
      </c>
      <c r="G2229" s="3">
        <v>45.8</v>
      </c>
      <c r="H2229" s="4" t="str">
        <f>IF(AND(A2229="Yes",C2229="School"),COUNTIFS($A$6:A2229,"Yes",$C$6:C2229,"School"),"")</f>
        <v/>
      </c>
    </row>
    <row r="2230" spans="1:8">
      <c r="A2230" s="13"/>
      <c r="B2230" s="1" t="s">
        <v>4423</v>
      </c>
      <c r="C2230" s="1" t="s">
        <v>24</v>
      </c>
      <c r="D2230" s="1" t="s">
        <v>4423</v>
      </c>
      <c r="E2230" s="1" t="s">
        <v>4424</v>
      </c>
      <c r="F2230" s="2">
        <v>97</v>
      </c>
      <c r="G2230" s="3">
        <v>73.2</v>
      </c>
      <c r="H2230" s="4" t="str">
        <f>IF(AND(A2230="Yes",C2230="School"),COUNTIFS($A$6:A2230,"Yes",$C$6:C2230,"School"),"")</f>
        <v/>
      </c>
    </row>
    <row r="2231" spans="1:8">
      <c r="A2231" s="13"/>
      <c r="B2231" s="1" t="s">
        <v>4425</v>
      </c>
      <c r="C2231" s="1" t="s">
        <v>24</v>
      </c>
      <c r="D2231" s="1" t="s">
        <v>4425</v>
      </c>
      <c r="E2231" s="1" t="s">
        <v>4426</v>
      </c>
      <c r="F2231" s="2">
        <v>1590</v>
      </c>
      <c r="G2231" s="3">
        <v>66.5</v>
      </c>
      <c r="H2231" s="4" t="str">
        <f>IF(AND(A2231="Yes",C2231="School"),COUNTIFS($A$6:A2231,"Yes",$C$6:C2231,"School"),"")</f>
        <v/>
      </c>
    </row>
    <row r="2232" spans="1:8">
      <c r="A2232" s="13"/>
      <c r="B2232" s="1" t="s">
        <v>4427</v>
      </c>
      <c r="C2232" s="1" t="s">
        <v>24</v>
      </c>
      <c r="D2232" s="1" t="s">
        <v>4427</v>
      </c>
      <c r="E2232" s="1" t="s">
        <v>4428</v>
      </c>
      <c r="F2232" s="2">
        <v>767</v>
      </c>
      <c r="G2232" s="3">
        <v>20.3</v>
      </c>
      <c r="H2232" s="4" t="str">
        <f>IF(AND(A2232="Yes",C2232="School"),COUNTIFS($A$6:A2232,"Yes",$C$6:C2232,"School"),"")</f>
        <v/>
      </c>
    </row>
    <row r="2233" spans="1:8">
      <c r="A2233" s="13"/>
      <c r="B2233" s="1" t="s">
        <v>4429</v>
      </c>
      <c r="C2233" s="1" t="s">
        <v>24</v>
      </c>
      <c r="D2233" s="1" t="s">
        <v>4429</v>
      </c>
      <c r="E2233" s="1" t="s">
        <v>4430</v>
      </c>
      <c r="F2233" s="2">
        <v>339</v>
      </c>
      <c r="G2233" s="3">
        <v>23.3</v>
      </c>
      <c r="H2233" s="4" t="str">
        <f>IF(AND(A2233="Yes",C2233="School"),COUNTIFS($A$6:A2233,"Yes",$C$6:C2233,"School"),"")</f>
        <v/>
      </c>
    </row>
    <row r="2234" spans="1:8">
      <c r="A2234" s="13"/>
      <c r="B2234" s="1" t="s">
        <v>4431</v>
      </c>
      <c r="C2234" s="1" t="s">
        <v>24</v>
      </c>
      <c r="D2234" s="1" t="s">
        <v>4431</v>
      </c>
      <c r="E2234" s="1" t="s">
        <v>4432</v>
      </c>
      <c r="F2234" s="2">
        <v>724</v>
      </c>
      <c r="G2234" s="3">
        <v>72.900000000000006</v>
      </c>
      <c r="H2234" s="4" t="str">
        <f>IF(AND(A2234="Yes",C2234="School"),COUNTIFS($A$6:A2234,"Yes",$C$6:C2234,"School"),"")</f>
        <v/>
      </c>
    </row>
    <row r="2235" spans="1:8">
      <c r="A2235" s="13"/>
      <c r="B2235" s="1" t="s">
        <v>4433</v>
      </c>
      <c r="C2235" s="1" t="s">
        <v>40</v>
      </c>
      <c r="D2235" s="1" t="s">
        <v>41</v>
      </c>
      <c r="E2235" s="1" t="s">
        <v>4434</v>
      </c>
      <c r="F2235" s="2">
        <v>7093</v>
      </c>
      <c r="G2235" s="3">
        <v>55.3</v>
      </c>
      <c r="H2235" s="4" t="str">
        <f>IF(AND(A2235="Yes",C2235="School"),COUNTIFS($A$6:A2235,"Yes",$C$6:C2235,"School"),"")</f>
        <v/>
      </c>
    </row>
    <row r="2236" spans="1:8">
      <c r="A2236" s="13"/>
      <c r="B2236" s="1" t="s">
        <v>4433</v>
      </c>
      <c r="C2236" s="1" t="s">
        <v>24</v>
      </c>
      <c r="D2236" s="1" t="s">
        <v>4435</v>
      </c>
      <c r="E2236" s="1" t="s">
        <v>4436</v>
      </c>
      <c r="F2236" s="2">
        <v>332</v>
      </c>
      <c r="G2236" s="3">
        <v>65.099999999999994</v>
      </c>
      <c r="H2236" s="4" t="str">
        <f>IF(AND(A2236="Yes",C2236="School"),COUNTIFS($A$6:A2236,"Yes",$C$6:C2236,"School"),"")</f>
        <v/>
      </c>
    </row>
    <row r="2237" spans="1:8">
      <c r="A2237" s="13"/>
      <c r="B2237" s="1" t="s">
        <v>4433</v>
      </c>
      <c r="C2237" s="1" t="s">
        <v>24</v>
      </c>
      <c r="D2237" s="1" t="s">
        <v>4437</v>
      </c>
      <c r="E2237" s="1" t="s">
        <v>4438</v>
      </c>
      <c r="F2237" s="2">
        <v>497</v>
      </c>
      <c r="G2237" s="3">
        <v>58.1</v>
      </c>
      <c r="H2237" s="4" t="str">
        <f>IF(AND(A2237="Yes",C2237="School"),COUNTIFS($A$6:A2237,"Yes",$C$6:C2237,"School"),"")</f>
        <v/>
      </c>
    </row>
    <row r="2238" spans="1:8">
      <c r="A2238" s="13"/>
      <c r="B2238" s="1" t="s">
        <v>4433</v>
      </c>
      <c r="C2238" s="1" t="s">
        <v>24</v>
      </c>
      <c r="D2238" s="1" t="s">
        <v>4439</v>
      </c>
      <c r="E2238" s="1" t="s">
        <v>4440</v>
      </c>
      <c r="F2238" s="2">
        <v>272</v>
      </c>
      <c r="G2238" s="3">
        <v>64.3</v>
      </c>
      <c r="H2238" s="4" t="str">
        <f>IF(AND(A2238="Yes",C2238="School"),COUNTIFS($A$6:A2238,"Yes",$C$6:C2238,"School"),"")</f>
        <v/>
      </c>
    </row>
    <row r="2239" spans="1:8">
      <c r="A2239" s="13"/>
      <c r="B2239" s="1" t="s">
        <v>4433</v>
      </c>
      <c r="C2239" s="1" t="s">
        <v>24</v>
      </c>
      <c r="D2239" s="1" t="s">
        <v>4441</v>
      </c>
      <c r="E2239" s="1" t="s">
        <v>4442</v>
      </c>
      <c r="F2239" s="2">
        <v>359</v>
      </c>
      <c r="G2239" s="3">
        <v>56</v>
      </c>
      <c r="H2239" s="4" t="str">
        <f>IF(AND(A2239="Yes",C2239="School"),COUNTIFS($A$6:A2239,"Yes",$C$6:C2239,"School"),"")</f>
        <v/>
      </c>
    </row>
    <row r="2240" spans="1:8">
      <c r="A2240" s="13"/>
      <c r="B2240" s="1" t="s">
        <v>4433</v>
      </c>
      <c r="C2240" s="1" t="s">
        <v>24</v>
      </c>
      <c r="D2240" s="1" t="s">
        <v>4443</v>
      </c>
      <c r="E2240" s="1" t="s">
        <v>4444</v>
      </c>
      <c r="F2240" s="2">
        <v>545</v>
      </c>
      <c r="G2240" s="3">
        <v>43.5</v>
      </c>
      <c r="H2240" s="4" t="str">
        <f>IF(AND(A2240="Yes",C2240="School"),COUNTIFS($A$6:A2240,"Yes",$C$6:C2240,"School"),"")</f>
        <v/>
      </c>
    </row>
    <row r="2241" spans="1:8">
      <c r="A2241" s="13"/>
      <c r="B2241" s="1" t="s">
        <v>4433</v>
      </c>
      <c r="C2241" s="1" t="s">
        <v>24</v>
      </c>
      <c r="D2241" s="1" t="s">
        <v>4445</v>
      </c>
      <c r="E2241" s="1" t="s">
        <v>4446</v>
      </c>
      <c r="F2241" s="2">
        <v>205</v>
      </c>
      <c r="G2241" s="3">
        <v>77.599999999999994</v>
      </c>
      <c r="H2241" s="4" t="str">
        <f>IF(AND(A2241="Yes",C2241="School"),COUNTIFS($A$6:A2241,"Yes",$C$6:C2241,"School"),"")</f>
        <v/>
      </c>
    </row>
    <row r="2242" spans="1:8">
      <c r="A2242" s="13"/>
      <c r="B2242" s="1" t="s">
        <v>4433</v>
      </c>
      <c r="C2242" s="1" t="s">
        <v>24</v>
      </c>
      <c r="D2242" s="1" t="s">
        <v>4447</v>
      </c>
      <c r="E2242" s="1" t="s">
        <v>4448</v>
      </c>
      <c r="F2242" s="2">
        <v>461</v>
      </c>
      <c r="G2242" s="3">
        <v>64.900000000000006</v>
      </c>
      <c r="H2242" s="4" t="str">
        <f>IF(AND(A2242="Yes",C2242="School"),COUNTIFS($A$6:A2242,"Yes",$C$6:C2242,"School"),"")</f>
        <v/>
      </c>
    </row>
    <row r="2243" spans="1:8">
      <c r="A2243" s="13"/>
      <c r="B2243" s="1" t="s">
        <v>4433</v>
      </c>
      <c r="C2243" s="1" t="s">
        <v>24</v>
      </c>
      <c r="D2243" s="1" t="s">
        <v>4449</v>
      </c>
      <c r="E2243" s="1" t="s">
        <v>4450</v>
      </c>
      <c r="F2243" s="2">
        <v>341</v>
      </c>
      <c r="G2243" s="3">
        <v>52.5</v>
      </c>
      <c r="H2243" s="4" t="str">
        <f>IF(AND(A2243="Yes",C2243="School"),COUNTIFS($A$6:A2243,"Yes",$C$6:C2243,"School"),"")</f>
        <v/>
      </c>
    </row>
    <row r="2244" spans="1:8">
      <c r="A2244" s="13"/>
      <c r="B2244" s="1" t="s">
        <v>4433</v>
      </c>
      <c r="C2244" s="1" t="s">
        <v>24</v>
      </c>
      <c r="D2244" s="1" t="s">
        <v>4451</v>
      </c>
      <c r="E2244" s="1" t="s">
        <v>4452</v>
      </c>
      <c r="F2244" s="2">
        <v>316</v>
      </c>
      <c r="G2244" s="3">
        <v>60.4</v>
      </c>
      <c r="H2244" s="4" t="str">
        <f>IF(AND(A2244="Yes",C2244="School"),COUNTIFS($A$6:A2244,"Yes",$C$6:C2244,"School"),"")</f>
        <v/>
      </c>
    </row>
    <row r="2245" spans="1:8">
      <c r="A2245" s="13"/>
      <c r="B2245" s="1" t="s">
        <v>4433</v>
      </c>
      <c r="C2245" s="1" t="s">
        <v>24</v>
      </c>
      <c r="D2245" s="1" t="s">
        <v>4453</v>
      </c>
      <c r="E2245" s="1" t="s">
        <v>4454</v>
      </c>
      <c r="F2245" s="2">
        <v>188</v>
      </c>
      <c r="G2245" s="3">
        <v>62.2</v>
      </c>
      <c r="H2245" s="4" t="str">
        <f>IF(AND(A2245="Yes",C2245="School"),COUNTIFS($A$6:A2245,"Yes",$C$6:C2245,"School"),"")</f>
        <v/>
      </c>
    </row>
    <row r="2246" spans="1:8">
      <c r="A2246" s="13"/>
      <c r="B2246" s="1" t="s">
        <v>4433</v>
      </c>
      <c r="C2246" s="1" t="s">
        <v>24</v>
      </c>
      <c r="D2246" s="1" t="s">
        <v>4455</v>
      </c>
      <c r="E2246" s="1" t="s">
        <v>4456</v>
      </c>
      <c r="F2246" s="2">
        <v>693</v>
      </c>
      <c r="G2246" s="3">
        <v>51.2</v>
      </c>
      <c r="H2246" s="4" t="str">
        <f>IF(AND(A2246="Yes",C2246="School"),COUNTIFS($A$6:A2246,"Yes",$C$6:C2246,"School"),"")</f>
        <v/>
      </c>
    </row>
    <row r="2247" spans="1:8">
      <c r="A2247" s="13"/>
      <c r="B2247" s="1" t="s">
        <v>4433</v>
      </c>
      <c r="C2247" s="1" t="s">
        <v>24</v>
      </c>
      <c r="D2247" s="1" t="s">
        <v>4457</v>
      </c>
      <c r="E2247" s="1" t="s">
        <v>4458</v>
      </c>
      <c r="F2247" s="2">
        <v>362</v>
      </c>
      <c r="G2247" s="3">
        <v>44.5</v>
      </c>
      <c r="H2247" s="4" t="str">
        <f>IF(AND(A2247="Yes",C2247="School"),COUNTIFS($A$6:A2247,"Yes",$C$6:C2247,"School"),"")</f>
        <v/>
      </c>
    </row>
    <row r="2248" spans="1:8">
      <c r="A2248" s="13"/>
      <c r="B2248" s="1" t="s">
        <v>4433</v>
      </c>
      <c r="C2248" s="1" t="s">
        <v>24</v>
      </c>
      <c r="D2248" s="1" t="s">
        <v>4459</v>
      </c>
      <c r="E2248" s="1" t="s">
        <v>4460</v>
      </c>
      <c r="F2248" s="2">
        <v>377</v>
      </c>
      <c r="G2248" s="3">
        <v>49.6</v>
      </c>
      <c r="H2248" s="4" t="str">
        <f>IF(AND(A2248="Yes",C2248="School"),COUNTIFS($A$6:A2248,"Yes",$C$6:C2248,"School"),"")</f>
        <v/>
      </c>
    </row>
    <row r="2249" spans="1:8">
      <c r="A2249" s="13"/>
      <c r="B2249" s="1" t="s">
        <v>4433</v>
      </c>
      <c r="C2249" s="1" t="s">
        <v>24</v>
      </c>
      <c r="D2249" s="1" t="s">
        <v>4461</v>
      </c>
      <c r="E2249" s="1" t="s">
        <v>4462</v>
      </c>
      <c r="F2249" s="2">
        <v>331</v>
      </c>
      <c r="G2249" s="3">
        <v>60.7</v>
      </c>
      <c r="H2249" s="4" t="str">
        <f>IF(AND(A2249="Yes",C2249="School"),COUNTIFS($A$6:A2249,"Yes",$C$6:C2249,"School"),"")</f>
        <v/>
      </c>
    </row>
    <row r="2250" spans="1:8">
      <c r="A2250" s="13"/>
      <c r="B2250" s="1" t="s">
        <v>4433</v>
      </c>
      <c r="C2250" s="1" t="s">
        <v>24</v>
      </c>
      <c r="D2250" s="1" t="s">
        <v>4463</v>
      </c>
      <c r="E2250" s="1" t="s">
        <v>4464</v>
      </c>
      <c r="F2250" s="2">
        <v>230</v>
      </c>
      <c r="G2250" s="3">
        <v>46.1</v>
      </c>
      <c r="H2250" s="4" t="str">
        <f>IF(AND(A2250="Yes",C2250="School"),COUNTIFS($A$6:A2250,"Yes",$C$6:C2250,"School"),"")</f>
        <v/>
      </c>
    </row>
    <row r="2251" spans="1:8">
      <c r="A2251" s="13"/>
      <c r="B2251" s="1" t="s">
        <v>4433</v>
      </c>
      <c r="C2251" s="1" t="s">
        <v>24</v>
      </c>
      <c r="D2251" s="1" t="s">
        <v>4465</v>
      </c>
      <c r="E2251" s="1" t="s">
        <v>4466</v>
      </c>
      <c r="F2251" s="2">
        <v>602</v>
      </c>
      <c r="G2251" s="3">
        <v>54</v>
      </c>
      <c r="H2251" s="4" t="str">
        <f>IF(AND(A2251="Yes",C2251="School"),COUNTIFS($A$6:A2251,"Yes",$C$6:C2251,"School"),"")</f>
        <v/>
      </c>
    </row>
    <row r="2252" spans="1:8">
      <c r="A2252" s="13"/>
      <c r="B2252" s="1" t="s">
        <v>4433</v>
      </c>
      <c r="C2252" s="1" t="s">
        <v>24</v>
      </c>
      <c r="D2252" s="1" t="s">
        <v>4467</v>
      </c>
      <c r="E2252" s="1" t="s">
        <v>4468</v>
      </c>
      <c r="F2252" s="2">
        <v>307</v>
      </c>
      <c r="G2252" s="3">
        <v>41</v>
      </c>
      <c r="H2252" s="4" t="str">
        <f>IF(AND(A2252="Yes",C2252="School"),COUNTIFS($A$6:A2252,"Yes",$C$6:C2252,"School"),"")</f>
        <v/>
      </c>
    </row>
    <row r="2253" spans="1:8">
      <c r="A2253" s="13"/>
      <c r="B2253" s="1" t="s">
        <v>4433</v>
      </c>
      <c r="C2253" s="1" t="s">
        <v>24</v>
      </c>
      <c r="D2253" s="1" t="s">
        <v>4469</v>
      </c>
      <c r="E2253" s="1" t="s">
        <v>4470</v>
      </c>
      <c r="F2253" s="2">
        <v>139</v>
      </c>
      <c r="G2253" s="3">
        <v>50.4</v>
      </c>
      <c r="H2253" s="4" t="str">
        <f>IF(AND(A2253="Yes",C2253="School"),COUNTIFS($A$6:A2253,"Yes",$C$6:C2253,"School"),"")</f>
        <v/>
      </c>
    </row>
    <row r="2254" spans="1:8">
      <c r="A2254" s="13"/>
      <c r="B2254" s="1" t="s">
        <v>4433</v>
      </c>
      <c r="C2254" s="1" t="s">
        <v>24</v>
      </c>
      <c r="D2254" s="1" t="s">
        <v>4471</v>
      </c>
      <c r="E2254" s="1" t="s">
        <v>4472</v>
      </c>
      <c r="F2254" s="2">
        <v>220</v>
      </c>
      <c r="G2254" s="3">
        <v>69.5</v>
      </c>
      <c r="H2254" s="4" t="str">
        <f>IF(AND(A2254="Yes",C2254="School"),COUNTIFS($A$6:A2254,"Yes",$C$6:C2254,"School"),"")</f>
        <v/>
      </c>
    </row>
    <row r="2255" spans="1:8">
      <c r="A2255" s="13"/>
      <c r="B2255" s="1" t="s">
        <v>4433</v>
      </c>
      <c r="C2255" s="1" t="s">
        <v>24</v>
      </c>
      <c r="D2255" s="1" t="s">
        <v>4473</v>
      </c>
      <c r="E2255" s="1" t="s">
        <v>4474</v>
      </c>
      <c r="F2255" s="2">
        <v>316</v>
      </c>
      <c r="G2255" s="3">
        <v>54.4</v>
      </c>
      <c r="H2255" s="4" t="str">
        <f>IF(AND(A2255="Yes",C2255="School"),COUNTIFS($A$6:A2255,"Yes",$C$6:C2255,"School"),"")</f>
        <v/>
      </c>
    </row>
    <row r="2256" spans="1:8">
      <c r="A2256" s="13"/>
      <c r="B2256" s="1" t="s">
        <v>4475</v>
      </c>
      <c r="C2256" s="1" t="s">
        <v>40</v>
      </c>
      <c r="D2256" s="1" t="s">
        <v>41</v>
      </c>
      <c r="E2256" s="1" t="s">
        <v>4476</v>
      </c>
      <c r="F2256" s="2">
        <v>1653</v>
      </c>
      <c r="G2256" s="3">
        <v>57.8</v>
      </c>
      <c r="H2256" s="4" t="str">
        <f>IF(AND(A2256="Yes",C2256="School"),COUNTIFS($A$6:A2256,"Yes",$C$6:C2256,"School"),"")</f>
        <v/>
      </c>
    </row>
    <row r="2257" spans="1:8">
      <c r="A2257" s="13"/>
      <c r="B2257" s="1" t="s">
        <v>4475</v>
      </c>
      <c r="C2257" s="1" t="s">
        <v>24</v>
      </c>
      <c r="D2257" s="1" t="s">
        <v>4477</v>
      </c>
      <c r="E2257" s="1" t="s">
        <v>4478</v>
      </c>
      <c r="F2257" s="2">
        <v>43</v>
      </c>
      <c r="G2257" s="3">
        <v>74.400000000000006</v>
      </c>
      <c r="H2257" s="4" t="str">
        <f>IF(AND(A2257="Yes",C2257="School"),COUNTIFS($A$6:A2257,"Yes",$C$6:C2257,"School"),"")</f>
        <v/>
      </c>
    </row>
    <row r="2258" spans="1:8">
      <c r="A2258" s="13"/>
      <c r="B2258" s="1" t="s">
        <v>4475</v>
      </c>
      <c r="C2258" s="1" t="s">
        <v>24</v>
      </c>
      <c r="D2258" s="1" t="s">
        <v>4479</v>
      </c>
      <c r="E2258" s="1" t="s">
        <v>4480</v>
      </c>
      <c r="F2258" s="2">
        <v>330</v>
      </c>
      <c r="G2258" s="3">
        <v>69.099999999999994</v>
      </c>
      <c r="H2258" s="4" t="str">
        <f>IF(AND(A2258="Yes",C2258="School"),COUNTIFS($A$6:A2258,"Yes",$C$6:C2258,"School"),"")</f>
        <v/>
      </c>
    </row>
    <row r="2259" spans="1:8">
      <c r="A2259" s="13"/>
      <c r="B2259" s="1" t="s">
        <v>4475</v>
      </c>
      <c r="C2259" s="1" t="s">
        <v>24</v>
      </c>
      <c r="D2259" s="1" t="s">
        <v>4481</v>
      </c>
      <c r="E2259" s="1" t="s">
        <v>4482</v>
      </c>
      <c r="F2259" s="2">
        <v>456</v>
      </c>
      <c r="G2259" s="3">
        <v>45.4</v>
      </c>
      <c r="H2259" s="4" t="str">
        <f>IF(AND(A2259="Yes",C2259="School"),COUNTIFS($A$6:A2259,"Yes",$C$6:C2259,"School"),"")</f>
        <v/>
      </c>
    </row>
    <row r="2260" spans="1:8">
      <c r="A2260" s="13"/>
      <c r="B2260" s="1" t="s">
        <v>4475</v>
      </c>
      <c r="C2260" s="1" t="s">
        <v>24</v>
      </c>
      <c r="D2260" s="1" t="s">
        <v>4483</v>
      </c>
      <c r="E2260" s="1" t="s">
        <v>4484</v>
      </c>
      <c r="F2260" s="2">
        <v>451</v>
      </c>
      <c r="G2260" s="3">
        <v>58.1</v>
      </c>
      <c r="H2260" s="4" t="str">
        <f>IF(AND(A2260="Yes",C2260="School"),COUNTIFS($A$6:A2260,"Yes",$C$6:C2260,"School"),"")</f>
        <v/>
      </c>
    </row>
    <row r="2261" spans="1:8">
      <c r="A2261" s="13"/>
      <c r="B2261" s="1" t="s">
        <v>4475</v>
      </c>
      <c r="C2261" s="1" t="s">
        <v>24</v>
      </c>
      <c r="D2261" s="1" t="s">
        <v>4485</v>
      </c>
      <c r="E2261" s="1" t="s">
        <v>4486</v>
      </c>
      <c r="F2261" s="2">
        <v>373</v>
      </c>
      <c r="G2261" s="3">
        <v>60.9</v>
      </c>
      <c r="H2261" s="4" t="str">
        <f>IF(AND(A2261="Yes",C2261="School"),COUNTIFS($A$6:A2261,"Yes",$C$6:C2261,"School"),"")</f>
        <v/>
      </c>
    </row>
    <row r="2262" spans="1:8">
      <c r="A2262" s="13"/>
      <c r="B2262" s="1" t="s">
        <v>4487</v>
      </c>
      <c r="C2262" s="1" t="s">
        <v>24</v>
      </c>
      <c r="D2262" s="1" t="s">
        <v>4487</v>
      </c>
      <c r="E2262" s="1" t="s">
        <v>4488</v>
      </c>
      <c r="F2262" s="2">
        <v>701</v>
      </c>
      <c r="G2262" s="3">
        <v>11.3</v>
      </c>
      <c r="H2262" s="4" t="str">
        <f>IF(AND(A2262="Yes",C2262="School"),COUNTIFS($A$6:A2262,"Yes",$C$6:C2262,"School"),"")</f>
        <v/>
      </c>
    </row>
    <row r="2263" spans="1:8">
      <c r="A2263" s="13"/>
      <c r="B2263" s="1" t="s">
        <v>4487</v>
      </c>
      <c r="C2263" s="1" t="s">
        <v>24</v>
      </c>
      <c r="D2263" s="1" t="s">
        <v>4489</v>
      </c>
      <c r="E2263" s="1" t="s">
        <v>4490</v>
      </c>
      <c r="F2263" s="2" t="s">
        <v>4491</v>
      </c>
      <c r="G2263" s="3" t="s">
        <v>4492</v>
      </c>
      <c r="H2263" s="4" t="str">
        <f>IF(AND(A2263="Yes",C2263="School"),COUNTIFS($A$6:A2263,"Yes",$C$6:C2263,"School"),"")</f>
        <v/>
      </c>
    </row>
    <row r="2264" spans="1:8">
      <c r="A2264" s="13"/>
      <c r="B2264" s="1" t="s">
        <v>4493</v>
      </c>
      <c r="C2264" s="1" t="s">
        <v>24</v>
      </c>
      <c r="D2264" s="1" t="s">
        <v>4493</v>
      </c>
      <c r="E2264" s="1" t="s">
        <v>4494</v>
      </c>
      <c r="F2264" s="2">
        <v>450</v>
      </c>
      <c r="G2264" s="3">
        <v>28.9</v>
      </c>
      <c r="H2264" s="4" t="str">
        <f>IF(AND(A2264="Yes",C2264="School"),COUNTIFS($A$6:A2264,"Yes",$C$6:C2264,"School"),"")</f>
        <v/>
      </c>
    </row>
    <row r="2265" spans="1:8">
      <c r="A2265" s="13"/>
      <c r="B2265" s="1" t="s">
        <v>4495</v>
      </c>
      <c r="C2265" s="1" t="s">
        <v>24</v>
      </c>
      <c r="D2265" s="1" t="s">
        <v>4495</v>
      </c>
      <c r="E2265" s="1" t="s">
        <v>4496</v>
      </c>
      <c r="F2265" s="2">
        <v>702</v>
      </c>
      <c r="G2265" s="3">
        <v>43.4</v>
      </c>
      <c r="H2265" s="4" t="str">
        <f>IF(AND(A2265="Yes",C2265="School"),COUNTIFS($A$6:A2265,"Yes",$C$6:C2265,"School"),"")</f>
        <v/>
      </c>
    </row>
    <row r="2266" spans="1:8">
      <c r="A2266" s="13"/>
      <c r="B2266" s="1" t="s">
        <v>4497</v>
      </c>
      <c r="C2266" s="1" t="s">
        <v>24</v>
      </c>
      <c r="D2266" s="1" t="s">
        <v>4497</v>
      </c>
      <c r="E2266" s="1" t="s">
        <v>4498</v>
      </c>
      <c r="F2266" s="2">
        <v>771</v>
      </c>
      <c r="G2266" s="3">
        <v>63.3</v>
      </c>
      <c r="H2266" s="4" t="str">
        <f>IF(AND(A2266="Yes",C2266="School"),COUNTIFS($A$6:A2266,"Yes",$C$6:C2266,"School"),"")</f>
        <v/>
      </c>
    </row>
    <row r="2267" spans="1:8">
      <c r="A2267" s="13"/>
      <c r="B2267" s="1" t="s">
        <v>4499</v>
      </c>
      <c r="C2267" s="1" t="s">
        <v>24</v>
      </c>
      <c r="D2267" s="1" t="s">
        <v>4499</v>
      </c>
      <c r="E2267" s="1" t="s">
        <v>4500</v>
      </c>
      <c r="F2267" s="2">
        <v>378</v>
      </c>
      <c r="G2267" s="3">
        <v>8.5</v>
      </c>
      <c r="H2267" s="4" t="str">
        <f>IF(AND(A2267="Yes",C2267="School"),COUNTIFS($A$6:A2267,"Yes",$C$6:C2267,"School"),"")</f>
        <v/>
      </c>
    </row>
    <row r="2268" spans="1:8">
      <c r="A2268" s="13"/>
      <c r="B2268" s="1" t="s">
        <v>4501</v>
      </c>
      <c r="C2268" s="1" t="s">
        <v>24</v>
      </c>
      <c r="D2268" s="1" t="s">
        <v>4501</v>
      </c>
      <c r="E2268" s="1" t="s">
        <v>4502</v>
      </c>
      <c r="F2268" s="2">
        <v>112</v>
      </c>
      <c r="G2268" s="3">
        <v>59.8</v>
      </c>
      <c r="H2268" s="4" t="str">
        <f>IF(AND(A2268="Yes",C2268="School"),COUNTIFS($A$6:A2268,"Yes",$C$6:C2268,"School"),"")</f>
        <v/>
      </c>
    </row>
    <row r="2269" spans="1:8">
      <c r="A2269" s="13"/>
      <c r="B2269" s="1" t="s">
        <v>4503</v>
      </c>
      <c r="C2269" s="1" t="s">
        <v>24</v>
      </c>
      <c r="D2269" s="1" t="s">
        <v>4503</v>
      </c>
      <c r="E2269" s="1" t="s">
        <v>4504</v>
      </c>
      <c r="F2269" s="2">
        <v>417</v>
      </c>
      <c r="G2269" s="3">
        <v>37.200000000000003</v>
      </c>
      <c r="H2269" s="4" t="str">
        <f>IF(AND(A2269="Yes",C2269="School"),COUNTIFS($A$6:A2269,"Yes",$C$6:C2269,"School"),"")</f>
        <v/>
      </c>
    </row>
    <row r="2270" spans="1:8">
      <c r="A2270" s="13"/>
      <c r="B2270" s="1" t="s">
        <v>4505</v>
      </c>
      <c r="C2270" s="1" t="s">
        <v>24</v>
      </c>
      <c r="D2270" s="1" t="s">
        <v>4505</v>
      </c>
      <c r="E2270" s="1" t="s">
        <v>4506</v>
      </c>
      <c r="F2270" s="2">
        <v>720</v>
      </c>
      <c r="G2270" s="3">
        <v>37.4</v>
      </c>
      <c r="H2270" s="4" t="str">
        <f>IF(AND(A2270="Yes",C2270="School"),COUNTIFS($A$6:A2270,"Yes",$C$6:C2270,"School"),"")</f>
        <v/>
      </c>
    </row>
    <row r="2271" spans="1:8">
      <c r="A2271" s="13"/>
      <c r="B2271" s="1" t="s">
        <v>4507</v>
      </c>
      <c r="C2271" s="1" t="s">
        <v>24</v>
      </c>
      <c r="D2271" s="1" t="s">
        <v>4507</v>
      </c>
      <c r="E2271" s="1" t="s">
        <v>4508</v>
      </c>
      <c r="F2271" s="2">
        <v>581</v>
      </c>
      <c r="G2271" s="3">
        <v>27.9</v>
      </c>
      <c r="H2271" s="4" t="str">
        <f>IF(AND(A2271="Yes",C2271="School"),COUNTIFS($A$6:A2271,"Yes",$C$6:C2271,"School"),"")</f>
        <v/>
      </c>
    </row>
    <row r="2272" spans="1:8">
      <c r="A2272" s="13"/>
      <c r="B2272" s="1" t="s">
        <v>4509</v>
      </c>
      <c r="C2272" s="1" t="s">
        <v>24</v>
      </c>
      <c r="D2272" s="1" t="s">
        <v>4509</v>
      </c>
      <c r="E2272" s="1" t="s">
        <v>4510</v>
      </c>
      <c r="F2272" s="2">
        <v>424</v>
      </c>
      <c r="G2272" s="3">
        <v>57.5</v>
      </c>
      <c r="H2272" s="4" t="str">
        <f>IF(AND(A2272="Yes",C2272="School"),COUNTIFS($A$6:A2272,"Yes",$C$6:C2272,"School"),"")</f>
        <v/>
      </c>
    </row>
    <row r="2273" spans="1:8">
      <c r="A2273" s="13"/>
      <c r="B2273" s="1" t="s">
        <v>4511</v>
      </c>
      <c r="C2273" s="1" t="s">
        <v>24</v>
      </c>
      <c r="D2273" s="1" t="s">
        <v>4511</v>
      </c>
      <c r="E2273" s="1" t="s">
        <v>4512</v>
      </c>
      <c r="F2273" s="2">
        <v>1010</v>
      </c>
      <c r="G2273" s="3">
        <v>6.8</v>
      </c>
      <c r="H2273" s="4" t="str">
        <f>IF(AND(A2273="Yes",C2273="School"),COUNTIFS($A$6:A2273,"Yes",$C$6:C2273,"School"),"")</f>
        <v/>
      </c>
    </row>
    <row r="2274" spans="1:8">
      <c r="A2274" s="13"/>
      <c r="B2274" s="1" t="s">
        <v>4513</v>
      </c>
      <c r="C2274" s="1" t="s">
        <v>24</v>
      </c>
      <c r="D2274" s="1" t="s">
        <v>4513</v>
      </c>
      <c r="E2274" s="1" t="s">
        <v>4514</v>
      </c>
      <c r="F2274" s="2">
        <v>191</v>
      </c>
      <c r="G2274" s="3">
        <v>33</v>
      </c>
      <c r="H2274" s="4" t="str">
        <f>IF(AND(A2274="Yes",C2274="School"),COUNTIFS($A$6:A2274,"Yes",$C$6:C2274,"School"),"")</f>
        <v/>
      </c>
    </row>
    <row r="2275" spans="1:8">
      <c r="A2275" s="13"/>
      <c r="B2275" s="1" t="s">
        <v>4515</v>
      </c>
      <c r="C2275" s="1" t="s">
        <v>24</v>
      </c>
      <c r="D2275" s="1" t="s">
        <v>4515</v>
      </c>
      <c r="E2275" s="1" t="s">
        <v>4516</v>
      </c>
      <c r="F2275" s="2">
        <v>77</v>
      </c>
      <c r="G2275" s="3">
        <v>89.6</v>
      </c>
      <c r="H2275" s="4" t="str">
        <f>IF(AND(A2275="Yes",C2275="School"),COUNTIFS($A$6:A2275,"Yes",$C$6:C2275,"School"),"")</f>
        <v/>
      </c>
    </row>
    <row r="2276" spans="1:8">
      <c r="A2276" s="13"/>
      <c r="B2276" s="1" t="s">
        <v>4517</v>
      </c>
      <c r="C2276" s="1" t="s">
        <v>24</v>
      </c>
      <c r="D2276" s="1" t="s">
        <v>4517</v>
      </c>
      <c r="E2276" s="1" t="s">
        <v>4518</v>
      </c>
      <c r="F2276" s="2">
        <v>1251</v>
      </c>
      <c r="G2276" s="3">
        <v>39.1</v>
      </c>
      <c r="H2276" s="4" t="str">
        <f>IF(AND(A2276="Yes",C2276="School"),COUNTIFS($A$6:A2276,"Yes",$C$6:C2276,"School"),"")</f>
        <v/>
      </c>
    </row>
    <row r="2277" spans="1:8">
      <c r="A2277" s="13"/>
      <c r="B2277" s="1" t="s">
        <v>4519</v>
      </c>
      <c r="C2277" s="1" t="s">
        <v>40</v>
      </c>
      <c r="D2277" s="1" t="s">
        <v>41</v>
      </c>
      <c r="E2277" s="1" t="s">
        <v>4520</v>
      </c>
      <c r="F2277" s="2">
        <v>2095</v>
      </c>
      <c r="G2277" s="3">
        <v>70.7</v>
      </c>
      <c r="H2277" s="4" t="str">
        <f>IF(AND(A2277="Yes",C2277="School"),COUNTIFS($A$6:A2277,"Yes",$C$6:C2277,"School"),"")</f>
        <v/>
      </c>
    </row>
    <row r="2278" spans="1:8">
      <c r="A2278" s="13"/>
      <c r="B2278" s="1" t="s">
        <v>4519</v>
      </c>
      <c r="C2278" s="1" t="s">
        <v>24</v>
      </c>
      <c r="D2278" s="1" t="s">
        <v>4521</v>
      </c>
      <c r="E2278" s="1" t="s">
        <v>4522</v>
      </c>
      <c r="F2278" s="2" t="s">
        <v>4491</v>
      </c>
      <c r="G2278" s="3" t="s">
        <v>4492</v>
      </c>
      <c r="H2278" s="4" t="str">
        <f>IF(AND(A2278="Yes",C2278="School"),COUNTIFS($A$6:A2278,"Yes",$C$6:C2278,"School"),"")</f>
        <v/>
      </c>
    </row>
    <row r="2279" spans="1:8">
      <c r="A2279" s="13"/>
      <c r="B2279" s="1" t="s">
        <v>4519</v>
      </c>
      <c r="C2279" s="1" t="s">
        <v>24</v>
      </c>
      <c r="D2279" s="1" t="s">
        <v>4523</v>
      </c>
      <c r="E2279" s="1" t="s">
        <v>4524</v>
      </c>
      <c r="F2279" s="2">
        <v>328</v>
      </c>
      <c r="G2279" s="3">
        <v>69.2</v>
      </c>
      <c r="H2279" s="4" t="str">
        <f>IF(AND(A2279="Yes",C2279="School"),COUNTIFS($A$6:A2279,"Yes",$C$6:C2279,"School"),"")</f>
        <v/>
      </c>
    </row>
    <row r="2280" spans="1:8">
      <c r="A2280" s="13"/>
      <c r="B2280" s="1" t="s">
        <v>4519</v>
      </c>
      <c r="C2280" s="1" t="s">
        <v>24</v>
      </c>
      <c r="D2280" s="1" t="s">
        <v>4525</v>
      </c>
      <c r="E2280" s="1" t="s">
        <v>4526</v>
      </c>
      <c r="F2280" s="2">
        <v>559</v>
      </c>
      <c r="G2280" s="3">
        <v>61.2</v>
      </c>
      <c r="H2280" s="4" t="str">
        <f>IF(AND(A2280="Yes",C2280="School"),COUNTIFS($A$6:A2280,"Yes",$C$6:C2280,"School"),"")</f>
        <v/>
      </c>
    </row>
    <row r="2281" spans="1:8">
      <c r="A2281" s="13"/>
      <c r="B2281" s="1" t="s">
        <v>4519</v>
      </c>
      <c r="C2281" s="1" t="s">
        <v>24</v>
      </c>
      <c r="D2281" s="1" t="s">
        <v>4527</v>
      </c>
      <c r="E2281" s="1" t="s">
        <v>4528</v>
      </c>
      <c r="F2281" s="2">
        <v>468</v>
      </c>
      <c r="G2281" s="3">
        <v>68.599999999999994</v>
      </c>
      <c r="H2281" s="4" t="str">
        <f>IF(AND(A2281="Yes",C2281="School"),COUNTIFS($A$6:A2281,"Yes",$C$6:C2281,"School"),"")</f>
        <v/>
      </c>
    </row>
    <row r="2282" spans="1:8">
      <c r="A2282" s="13"/>
      <c r="B2282" s="1" t="s">
        <v>4519</v>
      </c>
      <c r="C2282" s="1" t="s">
        <v>24</v>
      </c>
      <c r="D2282" s="1" t="s">
        <v>4529</v>
      </c>
      <c r="E2282" s="1" t="s">
        <v>4530</v>
      </c>
      <c r="F2282" s="2">
        <v>733</v>
      </c>
      <c r="G2282" s="3">
        <v>79.900000000000006</v>
      </c>
      <c r="H2282" s="4" t="str">
        <f>IF(AND(A2282="Yes",C2282="School"),COUNTIFS($A$6:A2282,"Yes",$C$6:C2282,"School"),"")</f>
        <v/>
      </c>
    </row>
    <row r="2283" spans="1:8">
      <c r="A2283" s="13"/>
      <c r="B2283" s="1" t="s">
        <v>4531</v>
      </c>
      <c r="C2283" s="1" t="s">
        <v>24</v>
      </c>
      <c r="D2283" s="1" t="s">
        <v>4531</v>
      </c>
      <c r="E2283" s="1" t="s">
        <v>4532</v>
      </c>
      <c r="F2283" s="2">
        <v>206</v>
      </c>
      <c r="G2283" s="3">
        <v>49</v>
      </c>
      <c r="H2283" s="4" t="str">
        <f>IF(AND(A2283="Yes",C2283="School"),COUNTIFS($A$6:A2283,"Yes",$C$6:C2283,"School"),"")</f>
        <v/>
      </c>
    </row>
    <row r="2284" spans="1:8">
      <c r="A2284" s="13"/>
      <c r="B2284" s="1" t="s">
        <v>4533</v>
      </c>
      <c r="C2284" s="1" t="s">
        <v>24</v>
      </c>
      <c r="D2284" s="1" t="s">
        <v>4533</v>
      </c>
      <c r="E2284" s="1" t="s">
        <v>4534</v>
      </c>
      <c r="F2284" s="2">
        <v>221</v>
      </c>
      <c r="G2284" s="3">
        <v>53.4</v>
      </c>
      <c r="H2284" s="4" t="str">
        <f>IF(AND(A2284="Yes",C2284="School"),COUNTIFS($A$6:A2284,"Yes",$C$6:C2284,"School"),"")</f>
        <v/>
      </c>
    </row>
    <row r="2285" spans="1:8">
      <c r="A2285" s="13"/>
      <c r="B2285" s="1" t="s">
        <v>4533</v>
      </c>
      <c r="C2285" s="1" t="s">
        <v>24</v>
      </c>
      <c r="D2285" s="1" t="s">
        <v>4535</v>
      </c>
      <c r="E2285" s="1" t="s">
        <v>4536</v>
      </c>
      <c r="F2285" s="2" t="s">
        <v>4491</v>
      </c>
      <c r="G2285" s="3" t="s">
        <v>4492</v>
      </c>
      <c r="H2285" s="4" t="str">
        <f>IF(AND(A2285="Yes",C2285="School"),COUNTIFS($A$6:A2285,"Yes",$C$6:C2285,"School"),"")</f>
        <v/>
      </c>
    </row>
    <row r="2286" spans="1:8">
      <c r="A2286" s="13"/>
      <c r="B2286" s="1" t="s">
        <v>4537</v>
      </c>
      <c r="C2286" s="1" t="s">
        <v>24</v>
      </c>
      <c r="D2286" s="1" t="s">
        <v>4537</v>
      </c>
      <c r="E2286" s="1" t="s">
        <v>4538</v>
      </c>
      <c r="F2286" s="2">
        <v>1268</v>
      </c>
      <c r="G2286" s="3">
        <v>59.3</v>
      </c>
      <c r="H2286" s="4" t="str">
        <f>IF(AND(A2286="Yes",C2286="School"),COUNTIFS($A$6:A2286,"Yes",$C$6:C2286,"School"),"")</f>
        <v/>
      </c>
    </row>
    <row r="2287" spans="1:8">
      <c r="A2287" s="13"/>
      <c r="B2287" s="1" t="s">
        <v>4539</v>
      </c>
      <c r="C2287" s="1" t="s">
        <v>40</v>
      </c>
      <c r="D2287" s="1" t="s">
        <v>41</v>
      </c>
      <c r="E2287" s="1" t="s">
        <v>4540</v>
      </c>
      <c r="F2287" s="2">
        <v>3067</v>
      </c>
      <c r="G2287" s="3">
        <v>50.1</v>
      </c>
      <c r="H2287" s="4" t="str">
        <f>IF(AND(A2287="Yes",C2287="School"),COUNTIFS($A$6:A2287,"Yes",$C$6:C2287,"School"),"")</f>
        <v/>
      </c>
    </row>
    <row r="2288" spans="1:8">
      <c r="A2288" s="13"/>
      <c r="B2288" s="1" t="s">
        <v>4539</v>
      </c>
      <c r="C2288" s="1" t="s">
        <v>24</v>
      </c>
      <c r="D2288" s="1" t="s">
        <v>4541</v>
      </c>
      <c r="E2288" s="1" t="s">
        <v>4542</v>
      </c>
      <c r="F2288" s="2">
        <v>480</v>
      </c>
      <c r="G2288" s="3">
        <v>50.4</v>
      </c>
      <c r="H2288" s="4" t="str">
        <f>IF(AND(A2288="Yes",C2288="School"),COUNTIFS($A$6:A2288,"Yes",$C$6:C2288,"School"),"")</f>
        <v/>
      </c>
    </row>
    <row r="2289" spans="1:8">
      <c r="A2289" s="13"/>
      <c r="B2289" s="1" t="s">
        <v>4539</v>
      </c>
      <c r="C2289" s="1" t="s">
        <v>24</v>
      </c>
      <c r="D2289" s="1" t="s">
        <v>4543</v>
      </c>
      <c r="E2289" s="1" t="s">
        <v>4544</v>
      </c>
      <c r="F2289" s="2">
        <v>752</v>
      </c>
      <c r="G2289" s="3">
        <v>36.200000000000003</v>
      </c>
      <c r="H2289" s="4" t="str">
        <f>IF(AND(A2289="Yes",C2289="School"),COUNTIFS($A$6:A2289,"Yes",$C$6:C2289,"School"),"")</f>
        <v/>
      </c>
    </row>
    <row r="2290" spans="1:8">
      <c r="A2290" s="13"/>
      <c r="B2290" s="1" t="s">
        <v>4539</v>
      </c>
      <c r="C2290" s="1" t="s">
        <v>24</v>
      </c>
      <c r="D2290" s="1" t="s">
        <v>4545</v>
      </c>
      <c r="E2290" s="1" t="s">
        <v>4546</v>
      </c>
      <c r="F2290" s="2">
        <v>472</v>
      </c>
      <c r="G2290" s="3">
        <v>45.3</v>
      </c>
      <c r="H2290" s="4" t="str">
        <f>IF(AND(A2290="Yes",C2290="School"),COUNTIFS($A$6:A2290,"Yes",$C$6:C2290,"School"),"")</f>
        <v/>
      </c>
    </row>
    <row r="2291" spans="1:8">
      <c r="A2291" s="13"/>
      <c r="B2291" s="1" t="s">
        <v>4539</v>
      </c>
      <c r="C2291" s="1" t="s">
        <v>24</v>
      </c>
      <c r="D2291" s="1" t="s">
        <v>4547</v>
      </c>
      <c r="E2291" s="1" t="s">
        <v>4548</v>
      </c>
      <c r="F2291" s="2">
        <v>52</v>
      </c>
      <c r="G2291" s="3">
        <v>84.6</v>
      </c>
      <c r="H2291" s="4" t="str">
        <f>IF(AND(A2291="Yes",C2291="School"),COUNTIFS($A$6:A2291,"Yes",$C$6:C2291,"School"),"")</f>
        <v/>
      </c>
    </row>
    <row r="2292" spans="1:8">
      <c r="A2292" s="13"/>
      <c r="B2292" s="1" t="s">
        <v>4539</v>
      </c>
      <c r="C2292" s="1" t="s">
        <v>24</v>
      </c>
      <c r="D2292" s="1" t="s">
        <v>4549</v>
      </c>
      <c r="E2292" s="1" t="s">
        <v>4550</v>
      </c>
      <c r="F2292" s="2">
        <v>400</v>
      </c>
      <c r="G2292" s="3">
        <v>53.3</v>
      </c>
      <c r="H2292" s="4" t="str">
        <f>IF(AND(A2292="Yes",C2292="School"),COUNTIFS($A$6:A2292,"Yes",$C$6:C2292,"School"),"")</f>
        <v/>
      </c>
    </row>
    <row r="2293" spans="1:8">
      <c r="A2293" s="13"/>
      <c r="B2293" s="1" t="s">
        <v>4539</v>
      </c>
      <c r="C2293" s="1" t="s">
        <v>24</v>
      </c>
      <c r="D2293" s="1" t="s">
        <v>4551</v>
      </c>
      <c r="E2293" s="1" t="s">
        <v>4552</v>
      </c>
      <c r="F2293" s="2">
        <v>346</v>
      </c>
      <c r="G2293" s="3">
        <v>63</v>
      </c>
      <c r="H2293" s="4" t="str">
        <f>IF(AND(A2293="Yes",C2293="School"),COUNTIFS($A$6:A2293,"Yes",$C$6:C2293,"School"),"")</f>
        <v/>
      </c>
    </row>
    <row r="2294" spans="1:8">
      <c r="A2294" s="13"/>
      <c r="B2294" s="1" t="s">
        <v>4539</v>
      </c>
      <c r="C2294" s="1" t="s">
        <v>24</v>
      </c>
      <c r="D2294" s="1" t="s">
        <v>4553</v>
      </c>
      <c r="E2294" s="1" t="s">
        <v>4554</v>
      </c>
      <c r="F2294" s="2">
        <v>243</v>
      </c>
      <c r="G2294" s="3">
        <v>55.1</v>
      </c>
      <c r="H2294" s="4" t="str">
        <f>IF(AND(A2294="Yes",C2294="School"),COUNTIFS($A$6:A2294,"Yes",$C$6:C2294,"School"),"")</f>
        <v/>
      </c>
    </row>
    <row r="2295" spans="1:8">
      <c r="A2295" s="13"/>
      <c r="B2295" s="1" t="s">
        <v>4539</v>
      </c>
      <c r="C2295" s="1" t="s">
        <v>24</v>
      </c>
      <c r="D2295" s="1" t="s">
        <v>4555</v>
      </c>
      <c r="E2295" s="1" t="s">
        <v>4556</v>
      </c>
      <c r="F2295" s="2">
        <v>196</v>
      </c>
      <c r="G2295" s="3">
        <v>60.2</v>
      </c>
      <c r="H2295" s="4" t="str">
        <f>IF(AND(A2295="Yes",C2295="School"),COUNTIFS($A$6:A2295,"Yes",$C$6:C2295,"School"),"")</f>
        <v/>
      </c>
    </row>
    <row r="2296" spans="1:8">
      <c r="A2296" s="13"/>
      <c r="B2296" s="1" t="s">
        <v>4539</v>
      </c>
      <c r="C2296" s="1" t="s">
        <v>24</v>
      </c>
      <c r="D2296" s="1" t="s">
        <v>4557</v>
      </c>
      <c r="E2296" s="1" t="s">
        <v>4558</v>
      </c>
      <c r="F2296" s="2">
        <v>126</v>
      </c>
      <c r="G2296" s="3">
        <v>64.3</v>
      </c>
      <c r="H2296" s="4" t="str">
        <f>IF(AND(A2296="Yes",C2296="School"),COUNTIFS($A$6:A2296,"Yes",$C$6:C2296,"School"),"")</f>
        <v/>
      </c>
    </row>
    <row r="2297" spans="1:8">
      <c r="A2297" s="13"/>
      <c r="B2297" s="1" t="s">
        <v>4559</v>
      </c>
      <c r="C2297" s="1" t="s">
        <v>24</v>
      </c>
      <c r="D2297" s="1" t="s">
        <v>4559</v>
      </c>
      <c r="E2297" s="1" t="s">
        <v>4560</v>
      </c>
      <c r="F2297" s="2">
        <v>1342</v>
      </c>
      <c r="G2297" s="3">
        <v>57.1</v>
      </c>
      <c r="H2297" s="4" t="str">
        <f>IF(AND(A2297="Yes",C2297="School"),COUNTIFS($A$6:A2297,"Yes",$C$6:C2297,"School"),"")</f>
        <v/>
      </c>
    </row>
    <row r="2298" spans="1:8">
      <c r="A2298" s="13"/>
      <c r="B2298" s="1" t="s">
        <v>4561</v>
      </c>
      <c r="C2298" s="1" t="s">
        <v>24</v>
      </c>
      <c r="D2298" s="1" t="s">
        <v>4561</v>
      </c>
      <c r="E2298" s="1" t="s">
        <v>4562</v>
      </c>
      <c r="F2298" s="2">
        <v>1984</v>
      </c>
      <c r="G2298" s="3">
        <v>10.1</v>
      </c>
      <c r="H2298" s="4" t="str">
        <f>IF(AND(A2298="Yes",C2298="School"),COUNTIFS($A$6:A2298,"Yes",$C$6:C2298,"School"),"")</f>
        <v/>
      </c>
    </row>
    <row r="2299" spans="1:8">
      <c r="A2299" s="13"/>
      <c r="B2299" s="1" t="s">
        <v>4563</v>
      </c>
      <c r="C2299" s="1" t="s">
        <v>24</v>
      </c>
      <c r="D2299" s="1" t="s">
        <v>4563</v>
      </c>
      <c r="E2299" s="1" t="s">
        <v>4564</v>
      </c>
      <c r="F2299" s="2">
        <v>146</v>
      </c>
      <c r="G2299" s="3">
        <v>37</v>
      </c>
      <c r="H2299" s="4" t="str">
        <f>IF(AND(A2299="Yes",C2299="School"),COUNTIFS($A$6:A2299,"Yes",$C$6:C2299,"School"),"")</f>
        <v/>
      </c>
    </row>
    <row r="2300" spans="1:8">
      <c r="A2300" s="13"/>
      <c r="B2300" s="1" t="s">
        <v>4565</v>
      </c>
      <c r="C2300" s="1" t="s">
        <v>40</v>
      </c>
      <c r="D2300" s="1" t="s">
        <v>41</v>
      </c>
      <c r="E2300" s="1" t="s">
        <v>4566</v>
      </c>
      <c r="F2300" s="2">
        <v>442</v>
      </c>
      <c r="G2300" s="3">
        <v>58.8</v>
      </c>
      <c r="H2300" s="4" t="str">
        <f>IF(AND(A2300="Yes",C2300="School"),COUNTIFS($A$6:A2300,"Yes",$C$6:C2300,"School"),"")</f>
        <v/>
      </c>
    </row>
    <row r="2301" spans="1:8">
      <c r="A2301" s="13"/>
      <c r="B2301" s="1" t="s">
        <v>4565</v>
      </c>
      <c r="C2301" s="1" t="s">
        <v>24</v>
      </c>
      <c r="D2301" s="1" t="s">
        <v>4567</v>
      </c>
      <c r="E2301" s="1" t="s">
        <v>4568</v>
      </c>
      <c r="F2301" s="2">
        <v>149</v>
      </c>
      <c r="G2301" s="3">
        <v>53.7</v>
      </c>
      <c r="H2301" s="4" t="str">
        <f>IF(AND(A2301="Yes",C2301="School"),COUNTIFS($A$6:A2301,"Yes",$C$6:C2301,"School"),"")</f>
        <v/>
      </c>
    </row>
    <row r="2302" spans="1:8">
      <c r="A2302" s="13"/>
      <c r="B2302" s="1" t="s">
        <v>4565</v>
      </c>
      <c r="C2302" s="1" t="s">
        <v>24</v>
      </c>
      <c r="D2302" s="1" t="s">
        <v>4569</v>
      </c>
      <c r="E2302" s="1" t="s">
        <v>4570</v>
      </c>
      <c r="F2302" s="2">
        <v>61</v>
      </c>
      <c r="G2302" s="3">
        <v>60.7</v>
      </c>
      <c r="H2302" s="4" t="str">
        <f>IF(AND(A2302="Yes",C2302="School"),COUNTIFS($A$6:A2302,"Yes",$C$6:C2302,"School"),"")</f>
        <v/>
      </c>
    </row>
    <row r="2303" spans="1:8">
      <c r="A2303" s="13"/>
      <c r="B2303" s="1" t="s">
        <v>4565</v>
      </c>
      <c r="C2303" s="1" t="s">
        <v>24</v>
      </c>
      <c r="D2303" s="1" t="s">
        <v>4571</v>
      </c>
      <c r="E2303" s="1" t="s">
        <v>4572</v>
      </c>
      <c r="F2303" s="2">
        <v>232</v>
      </c>
      <c r="G2303" s="3">
        <v>61.6</v>
      </c>
      <c r="H2303" s="4" t="str">
        <f>IF(AND(A2303="Yes",C2303="School"),COUNTIFS($A$6:A2303,"Yes",$C$6:C2303,"School"),"")</f>
        <v/>
      </c>
    </row>
    <row r="2304" spans="1:8">
      <c r="A2304" s="13"/>
      <c r="B2304" s="1" t="s">
        <v>4573</v>
      </c>
      <c r="C2304" s="1" t="s">
        <v>24</v>
      </c>
      <c r="D2304" s="1" t="s">
        <v>4573</v>
      </c>
      <c r="E2304" s="1" t="s">
        <v>4574</v>
      </c>
      <c r="F2304" s="2">
        <v>2153</v>
      </c>
      <c r="G2304" s="3">
        <v>25.6</v>
      </c>
      <c r="H2304" s="4" t="str">
        <f>IF(AND(A2304="Yes",C2304="School"),COUNTIFS($A$6:A2304,"Yes",$C$6:C2304,"School"),"")</f>
        <v/>
      </c>
    </row>
    <row r="2305" spans="1:8">
      <c r="A2305" s="13"/>
      <c r="B2305" s="1" t="s">
        <v>4575</v>
      </c>
      <c r="C2305" s="1" t="s">
        <v>40</v>
      </c>
      <c r="D2305" s="1" t="s">
        <v>41</v>
      </c>
      <c r="E2305" s="1" t="s">
        <v>4576</v>
      </c>
      <c r="F2305" s="2">
        <v>40103</v>
      </c>
      <c r="G2305" s="3">
        <v>31.6</v>
      </c>
      <c r="H2305" s="4" t="str">
        <f>IF(AND(A2305="Yes",C2305="School"),COUNTIFS($A$6:A2305,"Yes",$C$6:C2305,"School"),"")</f>
        <v/>
      </c>
    </row>
    <row r="2306" spans="1:8">
      <c r="A2306" s="13"/>
      <c r="B2306" s="1" t="s">
        <v>4575</v>
      </c>
      <c r="C2306" s="1" t="s">
        <v>24</v>
      </c>
      <c r="D2306" s="1" t="s">
        <v>4577</v>
      </c>
      <c r="E2306" s="1" t="s">
        <v>4578</v>
      </c>
      <c r="F2306" s="2">
        <v>796</v>
      </c>
      <c r="G2306" s="3">
        <v>8.4</v>
      </c>
      <c r="H2306" s="4" t="str">
        <f>IF(AND(A2306="Yes",C2306="School"),COUNTIFS($A$6:A2306,"Yes",$C$6:C2306,"School"),"")</f>
        <v/>
      </c>
    </row>
    <row r="2307" spans="1:8">
      <c r="A2307" s="13"/>
      <c r="B2307" s="1" t="s">
        <v>4575</v>
      </c>
      <c r="C2307" s="1" t="s">
        <v>24</v>
      </c>
      <c r="D2307" s="1" t="s">
        <v>4579</v>
      </c>
      <c r="E2307" s="1" t="s">
        <v>4580</v>
      </c>
      <c r="F2307" s="2">
        <v>453</v>
      </c>
      <c r="G2307" s="3">
        <v>64.7</v>
      </c>
      <c r="H2307" s="4" t="str">
        <f>IF(AND(A2307="Yes",C2307="School"),COUNTIFS($A$6:A2307,"Yes",$C$6:C2307,"School"),"")</f>
        <v/>
      </c>
    </row>
    <row r="2308" spans="1:8">
      <c r="A2308" s="13"/>
      <c r="B2308" s="1" t="s">
        <v>4575</v>
      </c>
      <c r="C2308" s="1" t="s">
        <v>24</v>
      </c>
      <c r="D2308" s="1" t="s">
        <v>4581</v>
      </c>
      <c r="E2308" s="1" t="s">
        <v>4582</v>
      </c>
      <c r="F2308" s="2">
        <v>877</v>
      </c>
      <c r="G2308" s="3">
        <v>11.6</v>
      </c>
      <c r="H2308" s="4" t="str">
        <f>IF(AND(A2308="Yes",C2308="School"),COUNTIFS($A$6:A2308,"Yes",$C$6:C2308,"School"),"")</f>
        <v/>
      </c>
    </row>
    <row r="2309" spans="1:8">
      <c r="A2309" s="13"/>
      <c r="B2309" s="1" t="s">
        <v>4575</v>
      </c>
      <c r="C2309" s="1" t="s">
        <v>24</v>
      </c>
      <c r="D2309" s="1" t="s">
        <v>4583</v>
      </c>
      <c r="E2309" s="1" t="s">
        <v>4584</v>
      </c>
      <c r="F2309" s="2">
        <v>1760</v>
      </c>
      <c r="G2309" s="3">
        <v>11.1</v>
      </c>
      <c r="H2309" s="4" t="str">
        <f>IF(AND(A2309="Yes",C2309="School"),COUNTIFS($A$6:A2309,"Yes",$C$6:C2309,"School"),"")</f>
        <v/>
      </c>
    </row>
    <row r="2310" spans="1:8">
      <c r="A2310" s="13"/>
      <c r="B2310" s="1" t="s">
        <v>4575</v>
      </c>
      <c r="C2310" s="1" t="s">
        <v>24</v>
      </c>
      <c r="D2310" s="1" t="s">
        <v>4585</v>
      </c>
      <c r="E2310" s="1" t="s">
        <v>4586</v>
      </c>
      <c r="F2310" s="2">
        <v>1262</v>
      </c>
      <c r="G2310" s="3">
        <v>10.5</v>
      </c>
      <c r="H2310" s="4" t="str">
        <f>IF(AND(A2310="Yes",C2310="School"),COUNTIFS($A$6:A2310,"Yes",$C$6:C2310,"School"),"")</f>
        <v/>
      </c>
    </row>
    <row r="2311" spans="1:8">
      <c r="A2311" s="13"/>
      <c r="B2311" s="1" t="s">
        <v>4575</v>
      </c>
      <c r="C2311" s="1" t="s">
        <v>24</v>
      </c>
      <c r="D2311" s="1" t="s">
        <v>1347</v>
      </c>
      <c r="E2311" s="1" t="s">
        <v>4587</v>
      </c>
      <c r="F2311" s="2">
        <v>455</v>
      </c>
      <c r="G2311" s="3">
        <v>61.3</v>
      </c>
      <c r="H2311" s="4" t="str">
        <f>IF(AND(A2311="Yes",C2311="School"),COUNTIFS($A$6:A2311,"Yes",$C$6:C2311,"School"),"")</f>
        <v/>
      </c>
    </row>
    <row r="2312" spans="1:8">
      <c r="A2312" s="13"/>
      <c r="B2312" s="1" t="s">
        <v>4575</v>
      </c>
      <c r="C2312" s="1" t="s">
        <v>24</v>
      </c>
      <c r="D2312" s="1" t="s">
        <v>4588</v>
      </c>
      <c r="E2312" s="1" t="s">
        <v>4589</v>
      </c>
      <c r="F2312" s="2">
        <v>671</v>
      </c>
      <c r="G2312" s="3">
        <v>56.5</v>
      </c>
      <c r="H2312" s="4" t="str">
        <f>IF(AND(A2312="Yes",C2312="School"),COUNTIFS($A$6:A2312,"Yes",$C$6:C2312,"School"),"")</f>
        <v/>
      </c>
    </row>
    <row r="2313" spans="1:8">
      <c r="A2313" s="13"/>
      <c r="B2313" s="1" t="s">
        <v>4575</v>
      </c>
      <c r="C2313" s="1" t="s">
        <v>24</v>
      </c>
      <c r="D2313" s="1" t="s">
        <v>429</v>
      </c>
      <c r="E2313" s="1" t="s">
        <v>4590</v>
      </c>
      <c r="F2313" s="2">
        <v>405</v>
      </c>
      <c r="G2313" s="3">
        <v>37.799999999999997</v>
      </c>
      <c r="H2313" s="4" t="str">
        <f>IF(AND(A2313="Yes",C2313="School"),COUNTIFS($A$6:A2313,"Yes",$C$6:C2313,"School"),"")</f>
        <v/>
      </c>
    </row>
    <row r="2314" spans="1:8">
      <c r="A2314" s="13"/>
      <c r="B2314" s="1" t="s">
        <v>4575</v>
      </c>
      <c r="C2314" s="1" t="s">
        <v>24</v>
      </c>
      <c r="D2314" s="1" t="s">
        <v>4591</v>
      </c>
      <c r="E2314" s="1" t="s">
        <v>4592</v>
      </c>
      <c r="F2314" s="2">
        <v>865</v>
      </c>
      <c r="G2314" s="3">
        <v>54.3</v>
      </c>
      <c r="H2314" s="4" t="str">
        <f>IF(AND(A2314="Yes",C2314="School"),COUNTIFS($A$6:A2314,"Yes",$C$6:C2314,"School"),"")</f>
        <v/>
      </c>
    </row>
    <row r="2315" spans="1:8">
      <c r="A2315" s="13"/>
      <c r="B2315" s="1" t="s">
        <v>4575</v>
      </c>
      <c r="C2315" s="1" t="s">
        <v>24</v>
      </c>
      <c r="D2315" s="1" t="s">
        <v>4593</v>
      </c>
      <c r="E2315" s="1" t="s">
        <v>4594</v>
      </c>
      <c r="F2315" s="2">
        <v>492</v>
      </c>
      <c r="G2315" s="3">
        <v>36.799999999999997</v>
      </c>
      <c r="H2315" s="4" t="str">
        <f>IF(AND(A2315="Yes",C2315="School"),COUNTIFS($A$6:A2315,"Yes",$C$6:C2315,"School"),"")</f>
        <v/>
      </c>
    </row>
    <row r="2316" spans="1:8">
      <c r="A2316" s="13"/>
      <c r="B2316" s="1" t="s">
        <v>4575</v>
      </c>
      <c r="C2316" s="1" t="s">
        <v>24</v>
      </c>
      <c r="D2316" s="1" t="s">
        <v>4595</v>
      </c>
      <c r="E2316" s="1" t="s">
        <v>4596</v>
      </c>
      <c r="F2316" s="2">
        <v>642</v>
      </c>
      <c r="G2316" s="3">
        <v>51.6</v>
      </c>
      <c r="H2316" s="4" t="str">
        <f>IF(AND(A2316="Yes",C2316="School"),COUNTIFS($A$6:A2316,"Yes",$C$6:C2316,"School"),"")</f>
        <v/>
      </c>
    </row>
    <row r="2317" spans="1:8">
      <c r="A2317" s="13"/>
      <c r="B2317" s="1" t="s">
        <v>4575</v>
      </c>
      <c r="C2317" s="1" t="s">
        <v>24</v>
      </c>
      <c r="D2317" s="1" t="s">
        <v>4597</v>
      </c>
      <c r="E2317" s="1" t="s">
        <v>4598</v>
      </c>
      <c r="F2317" s="2">
        <v>830</v>
      </c>
      <c r="G2317" s="3">
        <v>13.5</v>
      </c>
      <c r="H2317" s="4" t="str">
        <f>IF(AND(A2317="Yes",C2317="School"),COUNTIFS($A$6:A2317,"Yes",$C$6:C2317,"School"),"")</f>
        <v/>
      </c>
    </row>
    <row r="2318" spans="1:8">
      <c r="A2318" s="13"/>
      <c r="B2318" s="1" t="s">
        <v>4575</v>
      </c>
      <c r="C2318" s="1" t="s">
        <v>24</v>
      </c>
      <c r="D2318" s="1" t="s">
        <v>4599</v>
      </c>
      <c r="E2318" s="1" t="s">
        <v>4600</v>
      </c>
      <c r="F2318" s="2">
        <v>409</v>
      </c>
      <c r="G2318" s="3">
        <v>64.8</v>
      </c>
      <c r="H2318" s="4" t="str">
        <f>IF(AND(A2318="Yes",C2318="School"),COUNTIFS($A$6:A2318,"Yes",$C$6:C2318,"School"),"")</f>
        <v/>
      </c>
    </row>
    <row r="2319" spans="1:8">
      <c r="A2319" s="13"/>
      <c r="B2319" s="1" t="s">
        <v>4575</v>
      </c>
      <c r="C2319" s="1" t="s">
        <v>24</v>
      </c>
      <c r="D2319" s="1" t="s">
        <v>4601</v>
      </c>
      <c r="E2319" s="1" t="s">
        <v>4602</v>
      </c>
      <c r="F2319" s="2">
        <v>653</v>
      </c>
      <c r="G2319" s="3">
        <v>5.2</v>
      </c>
      <c r="H2319" s="4" t="str">
        <f>IF(AND(A2319="Yes",C2319="School"),COUNTIFS($A$6:A2319,"Yes",$C$6:C2319,"School"),"")</f>
        <v/>
      </c>
    </row>
    <row r="2320" spans="1:8">
      <c r="A2320" s="13"/>
      <c r="B2320" s="1" t="s">
        <v>4575</v>
      </c>
      <c r="C2320" s="1" t="s">
        <v>24</v>
      </c>
      <c r="D2320" s="1" t="s">
        <v>4603</v>
      </c>
      <c r="E2320" s="1" t="s">
        <v>4604</v>
      </c>
      <c r="F2320" s="2">
        <v>1912</v>
      </c>
      <c r="G2320" s="3" t="s">
        <v>3211</v>
      </c>
      <c r="H2320" s="4" t="str">
        <f>IF(AND(A2320="Yes",C2320="School"),COUNTIFS($A$6:A2320,"Yes",$C$6:C2320,"School"),"")</f>
        <v/>
      </c>
    </row>
    <row r="2321" spans="1:8">
      <c r="A2321" s="13"/>
      <c r="B2321" s="1" t="s">
        <v>4575</v>
      </c>
      <c r="C2321" s="1" t="s">
        <v>24</v>
      </c>
      <c r="D2321" s="1" t="s">
        <v>4605</v>
      </c>
      <c r="E2321" s="1" t="s">
        <v>4606</v>
      </c>
      <c r="F2321" s="2">
        <v>1258</v>
      </c>
      <c r="G2321" s="3" t="s">
        <v>3211</v>
      </c>
      <c r="H2321" s="4" t="str">
        <f>IF(AND(A2321="Yes",C2321="School"),COUNTIFS($A$6:A2321,"Yes",$C$6:C2321,"School"),"")</f>
        <v/>
      </c>
    </row>
    <row r="2322" spans="1:8">
      <c r="A2322" s="13"/>
      <c r="B2322" s="1" t="s">
        <v>4575</v>
      </c>
      <c r="C2322" s="1" t="s">
        <v>24</v>
      </c>
      <c r="D2322" s="1" t="s">
        <v>4607</v>
      </c>
      <c r="E2322" s="1" t="s">
        <v>4608</v>
      </c>
      <c r="F2322" s="2">
        <v>1130</v>
      </c>
      <c r="G2322" s="3">
        <v>55.5</v>
      </c>
      <c r="H2322" s="4" t="str">
        <f>IF(AND(A2322="Yes",C2322="School"),COUNTIFS($A$6:A2322,"Yes",$C$6:C2322,"School"),"")</f>
        <v/>
      </c>
    </row>
    <row r="2323" spans="1:8">
      <c r="A2323" s="13"/>
      <c r="B2323" s="1" t="s">
        <v>4575</v>
      </c>
      <c r="C2323" s="1" t="s">
        <v>24</v>
      </c>
      <c r="D2323" s="1" t="s">
        <v>4609</v>
      </c>
      <c r="E2323" s="1" t="s">
        <v>4610</v>
      </c>
      <c r="F2323" s="2">
        <v>769</v>
      </c>
      <c r="G2323" s="3">
        <v>53.1</v>
      </c>
      <c r="H2323" s="4" t="str">
        <f>IF(AND(A2323="Yes",C2323="School"),COUNTIFS($A$6:A2323,"Yes",$C$6:C2323,"School"),"")</f>
        <v/>
      </c>
    </row>
    <row r="2324" spans="1:8">
      <c r="A2324" s="13"/>
      <c r="B2324" s="1" t="s">
        <v>4575</v>
      </c>
      <c r="C2324" s="1" t="s">
        <v>24</v>
      </c>
      <c r="D2324" s="1" t="s">
        <v>4611</v>
      </c>
      <c r="E2324" s="1" t="s">
        <v>4612</v>
      </c>
      <c r="F2324" s="2">
        <v>256</v>
      </c>
      <c r="G2324" s="3">
        <v>36.299999999999997</v>
      </c>
      <c r="H2324" s="4" t="str">
        <f>IF(AND(A2324="Yes",C2324="School"),COUNTIFS($A$6:A2324,"Yes",$C$6:C2324,"School"),"")</f>
        <v/>
      </c>
    </row>
    <row r="2325" spans="1:8">
      <c r="A2325" s="13"/>
      <c r="B2325" s="1" t="s">
        <v>4575</v>
      </c>
      <c r="C2325" s="1" t="s">
        <v>24</v>
      </c>
      <c r="D2325" s="1" t="s">
        <v>4613</v>
      </c>
      <c r="E2325" s="1" t="s">
        <v>4614</v>
      </c>
      <c r="F2325" s="2">
        <v>653</v>
      </c>
      <c r="G2325" s="3">
        <v>11.9</v>
      </c>
      <c r="H2325" s="4" t="str">
        <f>IF(AND(A2325="Yes",C2325="School"),COUNTIFS($A$6:A2325,"Yes",$C$6:C2325,"School"),"")</f>
        <v/>
      </c>
    </row>
    <row r="2326" spans="1:8">
      <c r="A2326" s="13"/>
      <c r="B2326" s="1" t="s">
        <v>4575</v>
      </c>
      <c r="C2326" s="1" t="s">
        <v>24</v>
      </c>
      <c r="D2326" s="1" t="s">
        <v>4615</v>
      </c>
      <c r="E2326" s="1" t="s">
        <v>4616</v>
      </c>
      <c r="F2326" s="2">
        <v>996</v>
      </c>
      <c r="G2326" s="3">
        <v>43.4</v>
      </c>
      <c r="H2326" s="4" t="str">
        <f>IF(AND(A2326="Yes",C2326="School"),COUNTIFS($A$6:A2326,"Yes",$C$6:C2326,"School"),"")</f>
        <v/>
      </c>
    </row>
    <row r="2327" spans="1:8">
      <c r="A2327" s="13"/>
      <c r="B2327" s="1" t="s">
        <v>4575</v>
      </c>
      <c r="C2327" s="1" t="s">
        <v>24</v>
      </c>
      <c r="D2327" s="1" t="s">
        <v>4617</v>
      </c>
      <c r="E2327" s="1" t="s">
        <v>4618</v>
      </c>
      <c r="F2327" s="2">
        <v>840</v>
      </c>
      <c r="G2327" s="3">
        <v>44.3</v>
      </c>
      <c r="H2327" s="4" t="str">
        <f>IF(AND(A2327="Yes",C2327="School"),COUNTIFS($A$6:A2327,"Yes",$C$6:C2327,"School"),"")</f>
        <v/>
      </c>
    </row>
    <row r="2328" spans="1:8">
      <c r="A2328" s="13"/>
      <c r="B2328" s="1" t="s">
        <v>4575</v>
      </c>
      <c r="C2328" s="1" t="s">
        <v>24</v>
      </c>
      <c r="D2328" s="1" t="s">
        <v>4619</v>
      </c>
      <c r="E2328" s="1" t="s">
        <v>4620</v>
      </c>
      <c r="F2328" s="2">
        <v>1188</v>
      </c>
      <c r="G2328" s="3">
        <v>37.200000000000003</v>
      </c>
      <c r="H2328" s="4" t="str">
        <f>IF(AND(A2328="Yes",C2328="School"),COUNTIFS($A$6:A2328,"Yes",$C$6:C2328,"School"),"")</f>
        <v/>
      </c>
    </row>
    <row r="2329" spans="1:8">
      <c r="A2329" s="13"/>
      <c r="B2329" s="1" t="s">
        <v>4575</v>
      </c>
      <c r="C2329" s="1" t="s">
        <v>24</v>
      </c>
      <c r="D2329" s="1" t="s">
        <v>4621</v>
      </c>
      <c r="E2329" s="1" t="s">
        <v>4622</v>
      </c>
      <c r="F2329" s="2">
        <v>893</v>
      </c>
      <c r="G2329" s="3">
        <v>37.799999999999997</v>
      </c>
      <c r="H2329" s="4" t="str">
        <f>IF(AND(A2329="Yes",C2329="School"),COUNTIFS($A$6:A2329,"Yes",$C$6:C2329,"School"),"")</f>
        <v/>
      </c>
    </row>
    <row r="2330" spans="1:8">
      <c r="A2330" s="13"/>
      <c r="B2330" s="1" t="s">
        <v>4575</v>
      </c>
      <c r="C2330" s="1" t="s">
        <v>24</v>
      </c>
      <c r="D2330" s="1" t="s">
        <v>4623</v>
      </c>
      <c r="E2330" s="1" t="s">
        <v>4624</v>
      </c>
      <c r="F2330" s="2">
        <v>730</v>
      </c>
      <c r="G2330" s="3">
        <v>35.200000000000003</v>
      </c>
      <c r="H2330" s="4" t="str">
        <f>IF(AND(A2330="Yes",C2330="School"),COUNTIFS($A$6:A2330,"Yes",$C$6:C2330,"School"),"")</f>
        <v/>
      </c>
    </row>
    <row r="2331" spans="1:8">
      <c r="A2331" s="13"/>
      <c r="B2331" s="1" t="s">
        <v>4575</v>
      </c>
      <c r="C2331" s="1" t="s">
        <v>24</v>
      </c>
      <c r="D2331" s="1" t="s">
        <v>4625</v>
      </c>
      <c r="E2331" s="1" t="s">
        <v>4626</v>
      </c>
      <c r="F2331" s="2">
        <v>728</v>
      </c>
      <c r="G2331" s="3">
        <v>53.2</v>
      </c>
      <c r="H2331" s="4" t="str">
        <f>IF(AND(A2331="Yes",C2331="School"),COUNTIFS($A$6:A2331,"Yes",$C$6:C2331,"School"),"")</f>
        <v/>
      </c>
    </row>
    <row r="2332" spans="1:8">
      <c r="A2332" s="13"/>
      <c r="B2332" s="1" t="s">
        <v>4575</v>
      </c>
      <c r="C2332" s="1" t="s">
        <v>24</v>
      </c>
      <c r="D2332" s="1" t="s">
        <v>4627</v>
      </c>
      <c r="E2332" s="1" t="s">
        <v>4628</v>
      </c>
      <c r="F2332" s="2">
        <v>1727</v>
      </c>
      <c r="G2332" s="3">
        <v>37.1</v>
      </c>
      <c r="H2332" s="4" t="str">
        <f>IF(AND(A2332="Yes",C2332="School"),COUNTIFS($A$6:A2332,"Yes",$C$6:C2332,"School"),"")</f>
        <v/>
      </c>
    </row>
    <row r="2333" spans="1:8">
      <c r="A2333" s="13"/>
      <c r="B2333" s="1" t="s">
        <v>4575</v>
      </c>
      <c r="C2333" s="1" t="s">
        <v>24</v>
      </c>
      <c r="D2333" s="1" t="s">
        <v>4629</v>
      </c>
      <c r="E2333" s="1" t="s">
        <v>4630</v>
      </c>
      <c r="F2333" s="2">
        <v>1481</v>
      </c>
      <c r="G2333" s="3">
        <v>37.799999999999997</v>
      </c>
      <c r="H2333" s="4" t="str">
        <f>IF(AND(A2333="Yes",C2333="School"),COUNTIFS($A$6:A2333,"Yes",$C$6:C2333,"School"),"")</f>
        <v/>
      </c>
    </row>
    <row r="2334" spans="1:8">
      <c r="A2334" s="13"/>
      <c r="B2334" s="1" t="s">
        <v>4575</v>
      </c>
      <c r="C2334" s="1" t="s">
        <v>24</v>
      </c>
      <c r="D2334" s="1" t="s">
        <v>3939</v>
      </c>
      <c r="E2334" s="1" t="s">
        <v>4631</v>
      </c>
      <c r="F2334" s="2">
        <v>387</v>
      </c>
      <c r="G2334" s="3">
        <v>41.6</v>
      </c>
      <c r="H2334" s="4" t="str">
        <f>IF(AND(A2334="Yes",C2334="School"),COUNTIFS($A$6:A2334,"Yes",$C$6:C2334,"School"),"")</f>
        <v/>
      </c>
    </row>
    <row r="2335" spans="1:8">
      <c r="A2335" s="13"/>
      <c r="B2335" s="1" t="s">
        <v>4575</v>
      </c>
      <c r="C2335" s="1" t="s">
        <v>24</v>
      </c>
      <c r="D2335" s="1" t="s">
        <v>4632</v>
      </c>
      <c r="E2335" s="1" t="s">
        <v>4633</v>
      </c>
      <c r="F2335" s="2">
        <v>613</v>
      </c>
      <c r="G2335" s="3">
        <v>7</v>
      </c>
      <c r="H2335" s="4" t="str">
        <f>IF(AND(A2335="Yes",C2335="School"),COUNTIFS($A$6:A2335,"Yes",$C$6:C2335,"School"),"")</f>
        <v/>
      </c>
    </row>
    <row r="2336" spans="1:8">
      <c r="A2336" s="13"/>
      <c r="B2336" s="1" t="s">
        <v>4575</v>
      </c>
      <c r="C2336" s="1" t="s">
        <v>24</v>
      </c>
      <c r="D2336" s="1" t="s">
        <v>4634</v>
      </c>
      <c r="E2336" s="1" t="s">
        <v>4635</v>
      </c>
      <c r="F2336" s="2">
        <v>422</v>
      </c>
      <c r="G2336" s="3">
        <v>60.2</v>
      </c>
      <c r="H2336" s="4" t="str">
        <f>IF(AND(A2336="Yes",C2336="School"),COUNTIFS($A$6:A2336,"Yes",$C$6:C2336,"School"),"")</f>
        <v/>
      </c>
    </row>
    <row r="2337" spans="1:8">
      <c r="A2337" s="13"/>
      <c r="B2337" s="1" t="s">
        <v>4575</v>
      </c>
      <c r="C2337" s="1" t="s">
        <v>24</v>
      </c>
      <c r="D2337" s="1" t="s">
        <v>603</v>
      </c>
      <c r="E2337" s="1" t="s">
        <v>4636</v>
      </c>
      <c r="F2337" s="2">
        <v>581</v>
      </c>
      <c r="G2337" s="3">
        <v>51.5</v>
      </c>
      <c r="H2337" s="4" t="str">
        <f>IF(AND(A2337="Yes",C2337="School"),COUNTIFS($A$6:A2337,"Yes",$C$6:C2337,"School"),"")</f>
        <v/>
      </c>
    </row>
    <row r="2338" spans="1:8">
      <c r="A2338" s="13"/>
      <c r="B2338" s="1" t="s">
        <v>4575</v>
      </c>
      <c r="C2338" s="1" t="s">
        <v>24</v>
      </c>
      <c r="D2338" s="1" t="s">
        <v>1949</v>
      </c>
      <c r="E2338" s="1" t="s">
        <v>4637</v>
      </c>
      <c r="F2338" s="2">
        <v>481</v>
      </c>
      <c r="G2338" s="3">
        <v>8.1</v>
      </c>
      <c r="H2338" s="4" t="str">
        <f>IF(AND(A2338="Yes",C2338="School"),COUNTIFS($A$6:A2338,"Yes",$C$6:C2338,"School"),"")</f>
        <v/>
      </c>
    </row>
    <row r="2339" spans="1:8">
      <c r="A2339" s="13"/>
      <c r="B2339" s="1" t="s">
        <v>4575</v>
      </c>
      <c r="C2339" s="1" t="s">
        <v>24</v>
      </c>
      <c r="D2339" s="1" t="s">
        <v>4638</v>
      </c>
      <c r="E2339" s="1" t="s">
        <v>4639</v>
      </c>
      <c r="F2339" s="2">
        <v>515</v>
      </c>
      <c r="G2339" s="3">
        <v>48.5</v>
      </c>
      <c r="H2339" s="4" t="str">
        <f>IF(AND(A2339="Yes",C2339="School"),COUNTIFS($A$6:A2339,"Yes",$C$6:C2339,"School"),"")</f>
        <v/>
      </c>
    </row>
    <row r="2340" spans="1:8">
      <c r="A2340" s="13"/>
      <c r="B2340" s="1" t="s">
        <v>4575</v>
      </c>
      <c r="C2340" s="1" t="s">
        <v>24</v>
      </c>
      <c r="D2340" s="1" t="s">
        <v>4640</v>
      </c>
      <c r="E2340" s="1" t="s">
        <v>4641</v>
      </c>
      <c r="F2340" s="2">
        <v>560</v>
      </c>
      <c r="G2340" s="3">
        <v>51.6</v>
      </c>
      <c r="H2340" s="4" t="str">
        <f>IF(AND(A2340="Yes",C2340="School"),COUNTIFS($A$6:A2340,"Yes",$C$6:C2340,"School"),"")</f>
        <v/>
      </c>
    </row>
    <row r="2341" spans="1:8">
      <c r="A2341" s="13"/>
      <c r="B2341" s="1" t="s">
        <v>4575</v>
      </c>
      <c r="C2341" s="1" t="s">
        <v>24</v>
      </c>
      <c r="D2341" s="1" t="s">
        <v>4642</v>
      </c>
      <c r="E2341" s="1" t="s">
        <v>4643</v>
      </c>
      <c r="F2341" s="2">
        <v>536</v>
      </c>
      <c r="G2341" s="3">
        <v>50.6</v>
      </c>
      <c r="H2341" s="4" t="str">
        <f>IF(AND(A2341="Yes",C2341="School"),COUNTIFS($A$6:A2341,"Yes",$C$6:C2341,"School"),"")</f>
        <v/>
      </c>
    </row>
    <row r="2342" spans="1:8">
      <c r="A2342" s="13"/>
      <c r="B2342" s="1" t="s">
        <v>4575</v>
      </c>
      <c r="C2342" s="1" t="s">
        <v>24</v>
      </c>
      <c r="D2342" s="1" t="s">
        <v>4644</v>
      </c>
      <c r="E2342" s="1" t="s">
        <v>4645</v>
      </c>
      <c r="F2342" s="2">
        <v>91</v>
      </c>
      <c r="G2342" s="3">
        <v>69.2</v>
      </c>
      <c r="H2342" s="4" t="str">
        <f>IF(AND(A2342="Yes",C2342="School"),COUNTIFS($A$6:A2342,"Yes",$C$6:C2342,"School"),"")</f>
        <v/>
      </c>
    </row>
    <row r="2343" spans="1:8">
      <c r="A2343" s="13"/>
      <c r="B2343" s="1" t="s">
        <v>4575</v>
      </c>
      <c r="C2343" s="1" t="s">
        <v>24</v>
      </c>
      <c r="D2343" s="1" t="s">
        <v>4646</v>
      </c>
      <c r="E2343" s="1" t="s">
        <v>4647</v>
      </c>
      <c r="F2343" s="2">
        <v>783</v>
      </c>
      <c r="G2343" s="3">
        <v>29.1</v>
      </c>
      <c r="H2343" s="4" t="str">
        <f>IF(AND(A2343="Yes",C2343="School"),COUNTIFS($A$6:A2343,"Yes",$C$6:C2343,"School"),"")</f>
        <v/>
      </c>
    </row>
    <row r="2344" spans="1:8">
      <c r="A2344" s="13"/>
      <c r="B2344" s="1" t="s">
        <v>4575</v>
      </c>
      <c r="C2344" s="1" t="s">
        <v>24</v>
      </c>
      <c r="D2344" s="1" t="s">
        <v>4648</v>
      </c>
      <c r="E2344" s="1" t="s">
        <v>4649</v>
      </c>
      <c r="F2344" s="2">
        <v>1196</v>
      </c>
      <c r="G2344" s="3">
        <v>48</v>
      </c>
      <c r="H2344" s="4" t="str">
        <f>IF(AND(A2344="Yes",C2344="School"),COUNTIFS($A$6:A2344,"Yes",$C$6:C2344,"School"),"")</f>
        <v/>
      </c>
    </row>
    <row r="2345" spans="1:8">
      <c r="A2345" s="13"/>
      <c r="B2345" s="1" t="s">
        <v>4575</v>
      </c>
      <c r="C2345" s="1" t="s">
        <v>24</v>
      </c>
      <c r="D2345" s="1" t="s">
        <v>4650</v>
      </c>
      <c r="E2345" s="1" t="s">
        <v>4651</v>
      </c>
      <c r="F2345" s="2">
        <v>938</v>
      </c>
      <c r="G2345" s="3">
        <v>50.7</v>
      </c>
      <c r="H2345" s="4" t="str">
        <f>IF(AND(A2345="Yes",C2345="School"),COUNTIFS($A$6:A2345,"Yes",$C$6:C2345,"School"),"")</f>
        <v/>
      </c>
    </row>
    <row r="2346" spans="1:8">
      <c r="A2346" s="13"/>
      <c r="B2346" s="1" t="s">
        <v>4575</v>
      </c>
      <c r="C2346" s="1" t="s">
        <v>24</v>
      </c>
      <c r="D2346" s="1" t="s">
        <v>4652</v>
      </c>
      <c r="E2346" s="1" t="s">
        <v>4653</v>
      </c>
      <c r="F2346" s="2">
        <v>306</v>
      </c>
      <c r="G2346" s="3">
        <v>34</v>
      </c>
      <c r="H2346" s="4" t="str">
        <f>IF(AND(A2346="Yes",C2346="School"),COUNTIFS($A$6:A2346,"Yes",$C$6:C2346,"School"),"")</f>
        <v/>
      </c>
    </row>
    <row r="2347" spans="1:8">
      <c r="A2347" s="13"/>
      <c r="B2347" s="1" t="s">
        <v>4575</v>
      </c>
      <c r="C2347" s="1" t="s">
        <v>24</v>
      </c>
      <c r="D2347" s="1" t="s">
        <v>381</v>
      </c>
      <c r="E2347" s="1" t="s">
        <v>4654</v>
      </c>
      <c r="F2347" s="2">
        <v>287</v>
      </c>
      <c r="G2347" s="3">
        <v>55.1</v>
      </c>
      <c r="H2347" s="4" t="str">
        <f>IF(AND(A2347="Yes",C2347="School"),COUNTIFS($A$6:A2347,"Yes",$C$6:C2347,"School"),"")</f>
        <v/>
      </c>
    </row>
    <row r="2348" spans="1:8">
      <c r="A2348" s="13"/>
      <c r="B2348" s="1" t="s">
        <v>4575</v>
      </c>
      <c r="C2348" s="1" t="s">
        <v>24</v>
      </c>
      <c r="D2348" s="1" t="s">
        <v>4655</v>
      </c>
      <c r="E2348" s="1" t="s">
        <v>4656</v>
      </c>
      <c r="F2348" s="2">
        <v>660</v>
      </c>
      <c r="G2348" s="3">
        <v>37.1</v>
      </c>
      <c r="H2348" s="4" t="str">
        <f>IF(AND(A2348="Yes",C2348="School"),COUNTIFS($A$6:A2348,"Yes",$C$6:C2348,"School"),"")</f>
        <v/>
      </c>
    </row>
    <row r="2349" spans="1:8">
      <c r="A2349" s="13"/>
      <c r="B2349" s="1" t="s">
        <v>4575</v>
      </c>
      <c r="C2349" s="1" t="s">
        <v>24</v>
      </c>
      <c r="D2349" s="1" t="s">
        <v>4657</v>
      </c>
      <c r="E2349" s="1" t="s">
        <v>4658</v>
      </c>
      <c r="F2349" s="2">
        <v>477</v>
      </c>
      <c r="G2349" s="3">
        <v>62.3</v>
      </c>
      <c r="H2349" s="4" t="str">
        <f>IF(AND(A2349="Yes",C2349="School"),COUNTIFS($A$6:A2349,"Yes",$C$6:C2349,"School"),"")</f>
        <v/>
      </c>
    </row>
    <row r="2350" spans="1:8">
      <c r="A2350" s="13"/>
      <c r="B2350" s="1" t="s">
        <v>4575</v>
      </c>
      <c r="C2350" s="1" t="s">
        <v>24</v>
      </c>
      <c r="D2350" s="1" t="s">
        <v>4659</v>
      </c>
      <c r="E2350" s="1" t="s">
        <v>4660</v>
      </c>
      <c r="F2350" s="2">
        <v>598</v>
      </c>
      <c r="G2350" s="3">
        <v>44.8</v>
      </c>
      <c r="H2350" s="4" t="str">
        <f>IF(AND(A2350="Yes",C2350="School"),COUNTIFS($A$6:A2350,"Yes",$C$6:C2350,"School"),"")</f>
        <v/>
      </c>
    </row>
    <row r="2351" spans="1:8">
      <c r="A2351" s="13"/>
      <c r="B2351" s="1" t="s">
        <v>4575</v>
      </c>
      <c r="C2351" s="1" t="s">
        <v>24</v>
      </c>
      <c r="D2351" s="1" t="s">
        <v>4661</v>
      </c>
      <c r="E2351" s="1" t="s">
        <v>4662</v>
      </c>
      <c r="F2351" s="2">
        <v>621</v>
      </c>
      <c r="G2351" s="3">
        <v>7.6</v>
      </c>
      <c r="H2351" s="4" t="str">
        <f>IF(AND(A2351="Yes",C2351="School"),COUNTIFS($A$6:A2351,"Yes",$C$6:C2351,"School"),"")</f>
        <v/>
      </c>
    </row>
    <row r="2352" spans="1:8">
      <c r="A2352" s="13"/>
      <c r="B2352" s="1" t="s">
        <v>4575</v>
      </c>
      <c r="C2352" s="1" t="s">
        <v>24</v>
      </c>
      <c r="D2352" s="1" t="s">
        <v>4663</v>
      </c>
      <c r="E2352" s="1" t="s">
        <v>4664</v>
      </c>
      <c r="F2352" s="2">
        <v>1870</v>
      </c>
      <c r="G2352" s="3">
        <v>7</v>
      </c>
      <c r="H2352" s="4" t="str">
        <f>IF(AND(A2352="Yes",C2352="School"),COUNTIFS($A$6:A2352,"Yes",$C$6:C2352,"School"),"")</f>
        <v/>
      </c>
    </row>
    <row r="2353" spans="1:8">
      <c r="A2353" s="13"/>
      <c r="B2353" s="1" t="s">
        <v>4575</v>
      </c>
      <c r="C2353" s="1" t="s">
        <v>24</v>
      </c>
      <c r="D2353" s="1" t="s">
        <v>4665</v>
      </c>
      <c r="E2353" s="1" t="s">
        <v>4666</v>
      </c>
      <c r="F2353" s="2">
        <v>1310</v>
      </c>
      <c r="G2353" s="3">
        <v>7.5</v>
      </c>
      <c r="H2353" s="4" t="str">
        <f>IF(AND(A2353="Yes",C2353="School"),COUNTIFS($A$6:A2353,"Yes",$C$6:C2353,"School"),"")</f>
        <v/>
      </c>
    </row>
    <row r="2354" spans="1:8">
      <c r="A2354" s="13"/>
      <c r="B2354" s="1" t="s">
        <v>4575</v>
      </c>
      <c r="C2354" s="1" t="s">
        <v>24</v>
      </c>
      <c r="D2354" s="1" t="s">
        <v>4667</v>
      </c>
      <c r="E2354" s="1" t="s">
        <v>4668</v>
      </c>
      <c r="F2354" s="2">
        <v>718</v>
      </c>
      <c r="G2354" s="3">
        <v>13.8</v>
      </c>
      <c r="H2354" s="4" t="str">
        <f>IF(AND(A2354="Yes",C2354="School"),COUNTIFS($A$6:A2354,"Yes",$C$6:C2354,"School"),"")</f>
        <v/>
      </c>
    </row>
    <row r="2355" spans="1:8">
      <c r="A2355" s="13"/>
      <c r="B2355" s="1" t="s">
        <v>4575</v>
      </c>
      <c r="C2355" s="1" t="s">
        <v>24</v>
      </c>
      <c r="D2355" s="1" t="s">
        <v>4669</v>
      </c>
      <c r="E2355" s="1" t="s">
        <v>4670</v>
      </c>
      <c r="F2355" s="2">
        <v>499</v>
      </c>
      <c r="G2355" s="3">
        <v>43.5</v>
      </c>
      <c r="H2355" s="4" t="str">
        <f>IF(AND(A2355="Yes",C2355="School"),COUNTIFS($A$6:A2355,"Yes",$C$6:C2355,"School"),"")</f>
        <v/>
      </c>
    </row>
    <row r="2356" spans="1:8">
      <c r="A2356" s="13"/>
      <c r="B2356" s="1" t="s">
        <v>4575</v>
      </c>
      <c r="C2356" s="1" t="s">
        <v>24</v>
      </c>
      <c r="D2356" s="1" t="s">
        <v>4671</v>
      </c>
      <c r="E2356" s="1" t="s">
        <v>4672</v>
      </c>
      <c r="F2356" s="2">
        <v>415</v>
      </c>
      <c r="G2356" s="3">
        <v>62.4</v>
      </c>
      <c r="H2356" s="4" t="str">
        <f>IF(AND(A2356="Yes",C2356="School"),COUNTIFS($A$6:A2356,"Yes",$C$6:C2356,"School"),"")</f>
        <v/>
      </c>
    </row>
    <row r="2357" spans="1:8">
      <c r="A2357" s="13"/>
      <c r="B2357" s="1" t="s">
        <v>4575</v>
      </c>
      <c r="C2357" s="1" t="s">
        <v>24</v>
      </c>
      <c r="D2357" s="1" t="s">
        <v>4673</v>
      </c>
      <c r="E2357" s="1" t="s">
        <v>4674</v>
      </c>
      <c r="F2357" s="2">
        <v>108</v>
      </c>
      <c r="G2357" s="3">
        <v>55.6</v>
      </c>
      <c r="H2357" s="4" t="str">
        <f>IF(AND(A2357="Yes",C2357="School"),COUNTIFS($A$6:A2357,"Yes",$C$6:C2357,"School"),"")</f>
        <v/>
      </c>
    </row>
    <row r="2358" spans="1:8">
      <c r="A2358" s="13"/>
      <c r="B2358" s="1" t="s">
        <v>4675</v>
      </c>
      <c r="C2358" s="1" t="s">
        <v>24</v>
      </c>
      <c r="D2358" s="1" t="s">
        <v>4675</v>
      </c>
      <c r="E2358" s="1" t="s">
        <v>4676</v>
      </c>
      <c r="F2358" s="2">
        <v>610</v>
      </c>
      <c r="G2358" s="3">
        <v>23.9</v>
      </c>
      <c r="H2358" s="4" t="str">
        <f>IF(AND(A2358="Yes",C2358="School"),COUNTIFS($A$6:A2358,"Yes",$C$6:C2358,"School"),"")</f>
        <v/>
      </c>
    </row>
    <row r="2359" spans="1:8">
      <c r="A2359" s="13"/>
      <c r="B2359" s="1" t="s">
        <v>4677</v>
      </c>
      <c r="C2359" s="1" t="s">
        <v>24</v>
      </c>
      <c r="D2359" s="1" t="s">
        <v>4677</v>
      </c>
      <c r="E2359" s="1" t="s">
        <v>4678</v>
      </c>
      <c r="F2359" s="2">
        <v>1305</v>
      </c>
      <c r="G2359" s="3">
        <v>47.5</v>
      </c>
      <c r="H2359" s="4" t="str">
        <f>IF(AND(A2359="Yes",C2359="School"),COUNTIFS($A$6:A2359,"Yes",$C$6:C2359,"School"),"")</f>
        <v/>
      </c>
    </row>
    <row r="2360" spans="1:8">
      <c r="A2360" s="13"/>
      <c r="B2360" s="1" t="s">
        <v>4679</v>
      </c>
      <c r="C2360" s="1" t="s">
        <v>24</v>
      </c>
      <c r="D2360" s="1" t="s">
        <v>4679</v>
      </c>
      <c r="E2360" s="1" t="s">
        <v>4680</v>
      </c>
      <c r="F2360" s="2">
        <v>199</v>
      </c>
      <c r="G2360" s="3">
        <v>51.3</v>
      </c>
      <c r="H2360" s="4" t="str">
        <f>IF(AND(A2360="Yes",C2360="School"),COUNTIFS($A$6:A2360,"Yes",$C$6:C2360,"School"),"")</f>
        <v/>
      </c>
    </row>
    <row r="2361" spans="1:8">
      <c r="A2361" s="13"/>
      <c r="B2361" s="1" t="s">
        <v>4681</v>
      </c>
      <c r="C2361" s="1" t="s">
        <v>24</v>
      </c>
      <c r="D2361" s="1" t="s">
        <v>4681</v>
      </c>
      <c r="E2361" s="1" t="s">
        <v>4682</v>
      </c>
      <c r="F2361" s="2">
        <v>918</v>
      </c>
      <c r="G2361" s="3">
        <v>28.2</v>
      </c>
      <c r="H2361" s="4" t="str">
        <f>IF(AND(A2361="Yes",C2361="School"),COUNTIFS($A$6:A2361,"Yes",$C$6:C2361,"School"),"")</f>
        <v/>
      </c>
    </row>
    <row r="2362" spans="1:8">
      <c r="A2362" s="13"/>
      <c r="B2362" s="1" t="s">
        <v>4683</v>
      </c>
      <c r="C2362" s="1" t="s">
        <v>24</v>
      </c>
      <c r="D2362" s="1" t="s">
        <v>4683</v>
      </c>
      <c r="E2362" s="1" t="s">
        <v>4684</v>
      </c>
      <c r="F2362" s="2">
        <v>2014</v>
      </c>
      <c r="G2362" s="3">
        <v>33.4</v>
      </c>
      <c r="H2362" s="4" t="str">
        <f>IF(AND(A2362="Yes",C2362="School"),COUNTIFS($A$6:A2362,"Yes",$C$6:C2362,"School"),"")</f>
        <v/>
      </c>
    </row>
    <row r="2363" spans="1:8">
      <c r="A2363" s="13"/>
      <c r="B2363" s="1" t="s">
        <v>4683</v>
      </c>
      <c r="C2363" s="1" t="s">
        <v>24</v>
      </c>
      <c r="D2363" s="1" t="s">
        <v>4685</v>
      </c>
      <c r="E2363" s="1" t="s">
        <v>4686</v>
      </c>
      <c r="F2363" s="2">
        <v>147</v>
      </c>
      <c r="G2363" s="3">
        <v>42.2</v>
      </c>
      <c r="H2363" s="4" t="str">
        <f>IF(AND(A2363="Yes",C2363="School"),COUNTIFS($A$6:A2363,"Yes",$C$6:C2363,"School"),"")</f>
        <v/>
      </c>
    </row>
    <row r="2364" spans="1:8">
      <c r="A2364" s="13"/>
      <c r="B2364" s="1" t="s">
        <v>4687</v>
      </c>
      <c r="C2364" s="1" t="s">
        <v>24</v>
      </c>
      <c r="D2364" s="1" t="s">
        <v>4687</v>
      </c>
      <c r="E2364" s="1" t="s">
        <v>4688</v>
      </c>
      <c r="F2364" s="2">
        <v>946</v>
      </c>
      <c r="G2364" s="3">
        <v>40</v>
      </c>
      <c r="H2364" s="4" t="str">
        <f>IF(AND(A2364="Yes",C2364="School"),COUNTIFS($A$6:A2364,"Yes",$C$6:C2364,"School"),"")</f>
        <v/>
      </c>
    </row>
    <row r="2365" spans="1:8">
      <c r="A2365" s="13"/>
      <c r="B2365" s="1" t="s">
        <v>4689</v>
      </c>
      <c r="C2365" s="1" t="s">
        <v>40</v>
      </c>
      <c r="D2365" s="1" t="s">
        <v>41</v>
      </c>
      <c r="E2365" s="1" t="s">
        <v>4690</v>
      </c>
      <c r="F2365" s="2">
        <v>5101</v>
      </c>
      <c r="G2365" s="3">
        <v>77.400000000000006</v>
      </c>
      <c r="H2365" s="4" t="str">
        <f>IF(AND(A2365="Yes",C2365="School"),COUNTIFS($A$6:A2365,"Yes",$C$6:C2365,"School"),"")</f>
        <v/>
      </c>
    </row>
    <row r="2366" spans="1:8">
      <c r="A2366" s="13"/>
      <c r="B2366" s="1" t="s">
        <v>4689</v>
      </c>
      <c r="C2366" s="1" t="s">
        <v>24</v>
      </c>
      <c r="D2366" s="1" t="s">
        <v>4691</v>
      </c>
      <c r="E2366" s="1" t="s">
        <v>4692</v>
      </c>
      <c r="F2366" s="2">
        <v>149</v>
      </c>
      <c r="G2366" s="3">
        <v>88.6</v>
      </c>
      <c r="H2366" s="4" t="str">
        <f>IF(AND(A2366="Yes",C2366="School"),COUNTIFS($A$6:A2366,"Yes",$C$6:C2366,"School"),"")</f>
        <v/>
      </c>
    </row>
    <row r="2367" spans="1:8">
      <c r="A2367" s="13"/>
      <c r="B2367" s="1" t="s">
        <v>4689</v>
      </c>
      <c r="C2367" s="1" t="s">
        <v>24</v>
      </c>
      <c r="D2367" s="1" t="s">
        <v>4693</v>
      </c>
      <c r="E2367" s="1" t="s">
        <v>4694</v>
      </c>
      <c r="F2367" s="2">
        <v>348</v>
      </c>
      <c r="G2367" s="3">
        <v>78.2</v>
      </c>
      <c r="H2367" s="4" t="str">
        <f>IF(AND(A2367="Yes",C2367="School"),COUNTIFS($A$6:A2367,"Yes",$C$6:C2367,"School"),"")</f>
        <v/>
      </c>
    </row>
    <row r="2368" spans="1:8">
      <c r="A2368" s="13"/>
      <c r="B2368" s="1" t="s">
        <v>4689</v>
      </c>
      <c r="C2368" s="1" t="s">
        <v>24</v>
      </c>
      <c r="D2368" s="1" t="s">
        <v>4695</v>
      </c>
      <c r="E2368" s="1" t="s">
        <v>4696</v>
      </c>
      <c r="F2368" s="2">
        <v>135</v>
      </c>
      <c r="G2368" s="3">
        <v>80.7</v>
      </c>
      <c r="H2368" s="4" t="str">
        <f>IF(AND(A2368="Yes",C2368="School"),COUNTIFS($A$6:A2368,"Yes",$C$6:C2368,"School"),"")</f>
        <v/>
      </c>
    </row>
    <row r="2369" spans="1:8">
      <c r="A2369" s="13"/>
      <c r="B2369" s="1" t="s">
        <v>4689</v>
      </c>
      <c r="C2369" s="1" t="s">
        <v>24</v>
      </c>
      <c r="D2369" s="1" t="s">
        <v>4697</v>
      </c>
      <c r="E2369" s="1" t="s">
        <v>4698</v>
      </c>
      <c r="F2369" s="2">
        <v>384</v>
      </c>
      <c r="G2369" s="3">
        <v>84.4</v>
      </c>
      <c r="H2369" s="4" t="str">
        <f>IF(AND(A2369="Yes",C2369="School"),COUNTIFS($A$6:A2369,"Yes",$C$6:C2369,"School"),"")</f>
        <v/>
      </c>
    </row>
    <row r="2370" spans="1:8">
      <c r="A2370" s="13"/>
      <c r="B2370" s="1" t="s">
        <v>4689</v>
      </c>
      <c r="C2370" s="1" t="s">
        <v>24</v>
      </c>
      <c r="D2370" s="1" t="s">
        <v>4699</v>
      </c>
      <c r="E2370" s="1" t="s">
        <v>4700</v>
      </c>
      <c r="F2370" s="2">
        <v>352</v>
      </c>
      <c r="G2370" s="3">
        <v>83.2</v>
      </c>
      <c r="H2370" s="4" t="str">
        <f>IF(AND(A2370="Yes",C2370="School"),COUNTIFS($A$6:A2370,"Yes",$C$6:C2370,"School"),"")</f>
        <v/>
      </c>
    </row>
    <row r="2371" spans="1:8">
      <c r="A2371" s="13"/>
      <c r="B2371" s="1" t="s">
        <v>4689</v>
      </c>
      <c r="C2371" s="1" t="s">
        <v>24</v>
      </c>
      <c r="D2371" s="1" t="s">
        <v>4701</v>
      </c>
      <c r="E2371" s="1" t="s">
        <v>4702</v>
      </c>
      <c r="F2371" s="2">
        <v>369</v>
      </c>
      <c r="G2371" s="3">
        <v>80.8</v>
      </c>
      <c r="H2371" s="4" t="str">
        <f>IF(AND(A2371="Yes",C2371="School"),COUNTIFS($A$6:A2371,"Yes",$C$6:C2371,"School"),"")</f>
        <v/>
      </c>
    </row>
    <row r="2372" spans="1:8">
      <c r="A2372" s="13"/>
      <c r="B2372" s="1" t="s">
        <v>4689</v>
      </c>
      <c r="C2372" s="1" t="s">
        <v>24</v>
      </c>
      <c r="D2372" s="1" t="s">
        <v>4703</v>
      </c>
      <c r="E2372" s="1" t="s">
        <v>4704</v>
      </c>
      <c r="F2372" s="2">
        <v>188</v>
      </c>
      <c r="G2372" s="3">
        <v>82.4</v>
      </c>
      <c r="H2372" s="4" t="str">
        <f>IF(AND(A2372="Yes",C2372="School"),COUNTIFS($A$6:A2372,"Yes",$C$6:C2372,"School"),"")</f>
        <v/>
      </c>
    </row>
    <row r="2373" spans="1:8">
      <c r="A2373" s="13"/>
      <c r="B2373" s="1" t="s">
        <v>4689</v>
      </c>
      <c r="C2373" s="1" t="s">
        <v>24</v>
      </c>
      <c r="D2373" s="1" t="s">
        <v>4705</v>
      </c>
      <c r="E2373" s="1" t="s">
        <v>4706</v>
      </c>
      <c r="F2373" s="2">
        <v>191</v>
      </c>
      <c r="G2373" s="3">
        <v>78</v>
      </c>
      <c r="H2373" s="4" t="str">
        <f>IF(AND(A2373="Yes",C2373="School"),COUNTIFS($A$6:A2373,"Yes",$C$6:C2373,"School"),"")</f>
        <v/>
      </c>
    </row>
    <row r="2374" spans="1:8">
      <c r="A2374" s="13"/>
      <c r="B2374" s="1" t="s">
        <v>4689</v>
      </c>
      <c r="C2374" s="1" t="s">
        <v>24</v>
      </c>
      <c r="D2374" s="1" t="s">
        <v>2182</v>
      </c>
      <c r="E2374" s="1" t="s">
        <v>4707</v>
      </c>
      <c r="F2374" s="2">
        <v>118</v>
      </c>
      <c r="G2374" s="3">
        <v>77.099999999999994</v>
      </c>
      <c r="H2374" s="4" t="str">
        <f>IF(AND(A2374="Yes",C2374="School"),COUNTIFS($A$6:A2374,"Yes",$C$6:C2374,"School"),"")</f>
        <v/>
      </c>
    </row>
    <row r="2375" spans="1:8">
      <c r="A2375" s="13"/>
      <c r="B2375" s="1" t="s">
        <v>4689</v>
      </c>
      <c r="C2375" s="1" t="s">
        <v>24</v>
      </c>
      <c r="D2375" s="1" t="s">
        <v>4708</v>
      </c>
      <c r="E2375" s="1" t="s">
        <v>4709</v>
      </c>
      <c r="F2375" s="2">
        <v>250</v>
      </c>
      <c r="G2375" s="3">
        <v>78.8</v>
      </c>
      <c r="H2375" s="4" t="str">
        <f>IF(AND(A2375="Yes",C2375="School"),COUNTIFS($A$6:A2375,"Yes",$C$6:C2375,"School"),"")</f>
        <v/>
      </c>
    </row>
    <row r="2376" spans="1:8">
      <c r="A2376" s="13"/>
      <c r="B2376" s="1" t="s">
        <v>4689</v>
      </c>
      <c r="C2376" s="1" t="s">
        <v>24</v>
      </c>
      <c r="D2376" s="1" t="s">
        <v>4710</v>
      </c>
      <c r="E2376" s="1" t="s">
        <v>4711</v>
      </c>
      <c r="F2376" s="2">
        <v>305</v>
      </c>
      <c r="G2376" s="3">
        <v>67.900000000000006</v>
      </c>
      <c r="H2376" s="4" t="str">
        <f>IF(AND(A2376="Yes",C2376="School"),COUNTIFS($A$6:A2376,"Yes",$C$6:C2376,"School"),"")</f>
        <v/>
      </c>
    </row>
    <row r="2377" spans="1:8">
      <c r="A2377" s="13"/>
      <c r="B2377" s="1" t="s">
        <v>4689</v>
      </c>
      <c r="C2377" s="1" t="s">
        <v>24</v>
      </c>
      <c r="D2377" s="1" t="s">
        <v>4712</v>
      </c>
      <c r="E2377" s="1" t="s">
        <v>4713</v>
      </c>
      <c r="F2377" s="2">
        <v>214</v>
      </c>
      <c r="G2377" s="3">
        <v>59.3</v>
      </c>
      <c r="H2377" s="4" t="str">
        <f>IF(AND(A2377="Yes",C2377="School"),COUNTIFS($A$6:A2377,"Yes",$C$6:C2377,"School"),"")</f>
        <v/>
      </c>
    </row>
    <row r="2378" spans="1:8">
      <c r="A2378" s="13"/>
      <c r="B2378" s="1" t="s">
        <v>4689</v>
      </c>
      <c r="C2378" s="1" t="s">
        <v>24</v>
      </c>
      <c r="D2378" s="1" t="s">
        <v>4714</v>
      </c>
      <c r="E2378" s="1" t="s">
        <v>4715</v>
      </c>
      <c r="F2378" s="2">
        <v>993</v>
      </c>
      <c r="G2378" s="3">
        <v>74.2</v>
      </c>
      <c r="H2378" s="4" t="str">
        <f>IF(AND(A2378="Yes",C2378="School"),COUNTIFS($A$6:A2378,"Yes",$C$6:C2378,"School"),"")</f>
        <v/>
      </c>
    </row>
    <row r="2379" spans="1:8">
      <c r="A2379" s="13"/>
      <c r="B2379" s="1" t="s">
        <v>4689</v>
      </c>
      <c r="C2379" s="1" t="s">
        <v>24</v>
      </c>
      <c r="D2379" s="1" t="s">
        <v>4716</v>
      </c>
      <c r="E2379" s="1" t="s">
        <v>4717</v>
      </c>
      <c r="F2379" s="2">
        <v>666</v>
      </c>
      <c r="G2379" s="3">
        <v>77.8</v>
      </c>
      <c r="H2379" s="4" t="str">
        <f>IF(AND(A2379="Yes",C2379="School"),COUNTIFS($A$6:A2379,"Yes",$C$6:C2379,"School"),"")</f>
        <v/>
      </c>
    </row>
    <row r="2380" spans="1:8">
      <c r="A2380" s="13"/>
      <c r="B2380" s="1" t="s">
        <v>4689</v>
      </c>
      <c r="C2380" s="1" t="s">
        <v>24</v>
      </c>
      <c r="D2380" s="1" t="s">
        <v>4718</v>
      </c>
      <c r="E2380" s="1" t="s">
        <v>4719</v>
      </c>
      <c r="F2380" s="2">
        <v>133</v>
      </c>
      <c r="G2380" s="3">
        <v>69.2</v>
      </c>
      <c r="H2380" s="4" t="str">
        <f>IF(AND(A2380="Yes",C2380="School"),COUNTIFS($A$6:A2380,"Yes",$C$6:C2380,"School"),"")</f>
        <v/>
      </c>
    </row>
    <row r="2381" spans="1:8">
      <c r="A2381" s="13"/>
      <c r="B2381" s="1" t="s">
        <v>4689</v>
      </c>
      <c r="C2381" s="1" t="s">
        <v>24</v>
      </c>
      <c r="D2381" s="1" t="s">
        <v>4720</v>
      </c>
      <c r="E2381" s="1" t="s">
        <v>4721</v>
      </c>
      <c r="F2381" s="2">
        <v>306</v>
      </c>
      <c r="G2381" s="3">
        <v>81</v>
      </c>
      <c r="H2381" s="4" t="str">
        <f>IF(AND(A2381="Yes",C2381="School"),COUNTIFS($A$6:A2381,"Yes",$C$6:C2381,"School"),"")</f>
        <v/>
      </c>
    </row>
    <row r="2382" spans="1:8">
      <c r="A2382" s="13"/>
      <c r="B2382" s="1" t="s">
        <v>4722</v>
      </c>
      <c r="C2382" s="1" t="s">
        <v>24</v>
      </c>
      <c r="D2382" s="1" t="s">
        <v>4722</v>
      </c>
      <c r="E2382" s="1" t="s">
        <v>4723</v>
      </c>
      <c r="F2382" s="2">
        <v>1384</v>
      </c>
      <c r="G2382" s="3">
        <v>25.8</v>
      </c>
      <c r="H2382" s="4" t="str">
        <f>IF(AND(A2382="Yes",C2382="School"),COUNTIFS($A$6:A2382,"Yes",$C$6:C2382,"School"),"")</f>
        <v/>
      </c>
    </row>
    <row r="2383" spans="1:8">
      <c r="A2383" s="13"/>
      <c r="B2383" s="1" t="s">
        <v>4724</v>
      </c>
      <c r="C2383" s="1" t="s">
        <v>40</v>
      </c>
      <c r="D2383" s="1" t="s">
        <v>41</v>
      </c>
      <c r="E2383" s="1" t="s">
        <v>4725</v>
      </c>
      <c r="F2383" s="2">
        <v>163321</v>
      </c>
      <c r="G2383" s="3">
        <v>36.1</v>
      </c>
      <c r="H2383" s="4" t="str">
        <f>IF(AND(A2383="Yes",C2383="School"),COUNTIFS($A$6:A2383,"Yes",$C$6:C2383,"School"),"")</f>
        <v/>
      </c>
    </row>
    <row r="2384" spans="1:8">
      <c r="A2384" s="13"/>
      <c r="B2384" s="1" t="s">
        <v>4724</v>
      </c>
      <c r="C2384" s="1" t="s">
        <v>24</v>
      </c>
      <c r="D2384" s="1" t="s">
        <v>4726</v>
      </c>
      <c r="E2384" s="1" t="s">
        <v>4727</v>
      </c>
      <c r="F2384" s="2">
        <v>796</v>
      </c>
      <c r="G2384" s="3">
        <v>41.5</v>
      </c>
      <c r="H2384" s="4" t="str">
        <f>IF(AND(A2384="Yes",C2384="School"),COUNTIFS($A$6:A2384,"Yes",$C$6:C2384,"School"),"")</f>
        <v/>
      </c>
    </row>
    <row r="2385" spans="1:8">
      <c r="A2385" s="13"/>
      <c r="B2385" s="1" t="s">
        <v>4724</v>
      </c>
      <c r="C2385" s="1" t="s">
        <v>24</v>
      </c>
      <c r="D2385" s="1" t="s">
        <v>4728</v>
      </c>
      <c r="E2385" s="1" t="s">
        <v>4729</v>
      </c>
      <c r="F2385" s="2">
        <v>653</v>
      </c>
      <c r="G2385" s="3">
        <v>60.8</v>
      </c>
      <c r="H2385" s="4" t="str">
        <f>IF(AND(A2385="Yes",C2385="School"),COUNTIFS($A$6:A2385,"Yes",$C$6:C2385,"School"),"")</f>
        <v/>
      </c>
    </row>
    <row r="2386" spans="1:8">
      <c r="A2386" s="13"/>
      <c r="B2386" s="1" t="s">
        <v>4724</v>
      </c>
      <c r="C2386" s="1" t="s">
        <v>24</v>
      </c>
      <c r="D2386" s="1" t="s">
        <v>4730</v>
      </c>
      <c r="E2386" s="1" t="s">
        <v>4731</v>
      </c>
      <c r="F2386" s="2">
        <v>881</v>
      </c>
      <c r="G2386" s="3">
        <v>20.5</v>
      </c>
      <c r="H2386" s="4" t="str">
        <f>IF(AND(A2386="Yes",C2386="School"),COUNTIFS($A$6:A2386,"Yes",$C$6:C2386,"School"),"")</f>
        <v/>
      </c>
    </row>
    <row r="2387" spans="1:8">
      <c r="A2387" s="13"/>
      <c r="B2387" s="1" t="s">
        <v>4724</v>
      </c>
      <c r="C2387" s="1" t="s">
        <v>24</v>
      </c>
      <c r="D2387" s="1" t="s">
        <v>4732</v>
      </c>
      <c r="E2387" s="1" t="s">
        <v>4733</v>
      </c>
      <c r="F2387" s="2">
        <v>1550</v>
      </c>
      <c r="G2387" s="3">
        <v>22.3</v>
      </c>
      <c r="H2387" s="4" t="str">
        <f>IF(AND(A2387="Yes",C2387="School"),COUNTIFS($A$6:A2387,"Yes",$C$6:C2387,"School"),"")</f>
        <v/>
      </c>
    </row>
    <row r="2388" spans="1:8">
      <c r="A2388" s="13"/>
      <c r="B2388" s="1" t="s">
        <v>4724</v>
      </c>
      <c r="C2388" s="1" t="s">
        <v>24</v>
      </c>
      <c r="D2388" s="1" t="s">
        <v>4734</v>
      </c>
      <c r="E2388" s="1" t="s">
        <v>4735</v>
      </c>
      <c r="F2388" s="2">
        <v>580</v>
      </c>
      <c r="G2388" s="3">
        <v>38.299999999999997</v>
      </c>
      <c r="H2388" s="4" t="str">
        <f>IF(AND(A2388="Yes",C2388="School"),COUNTIFS($A$6:A2388,"Yes",$C$6:C2388,"School"),"")</f>
        <v/>
      </c>
    </row>
    <row r="2389" spans="1:8">
      <c r="A2389" s="13"/>
      <c r="B2389" s="1" t="s">
        <v>4724</v>
      </c>
      <c r="C2389" s="1" t="s">
        <v>24</v>
      </c>
      <c r="D2389" s="1" t="s">
        <v>4736</v>
      </c>
      <c r="E2389" s="1" t="s">
        <v>4737</v>
      </c>
      <c r="F2389" s="2">
        <v>890</v>
      </c>
      <c r="G2389" s="3">
        <v>7.6</v>
      </c>
      <c r="H2389" s="4" t="str">
        <f>IF(AND(A2389="Yes",C2389="School"),COUNTIFS($A$6:A2389,"Yes",$C$6:C2389,"School"),"")</f>
        <v/>
      </c>
    </row>
    <row r="2390" spans="1:8">
      <c r="A2390" s="13"/>
      <c r="B2390" s="1" t="s">
        <v>4724</v>
      </c>
      <c r="C2390" s="1" t="s">
        <v>24</v>
      </c>
      <c r="D2390" s="1" t="s">
        <v>4738</v>
      </c>
      <c r="E2390" s="1" t="s">
        <v>4739</v>
      </c>
      <c r="F2390" s="2">
        <v>2478</v>
      </c>
      <c r="G2390" s="3">
        <v>10.7</v>
      </c>
      <c r="H2390" s="4" t="str">
        <f>IF(AND(A2390="Yes",C2390="School"),COUNTIFS($A$6:A2390,"Yes",$C$6:C2390,"School"),"")</f>
        <v/>
      </c>
    </row>
    <row r="2391" spans="1:8">
      <c r="A2391" s="13"/>
      <c r="B2391" s="1" t="s">
        <v>4724</v>
      </c>
      <c r="C2391" s="1" t="s">
        <v>24</v>
      </c>
      <c r="D2391" s="1" t="s">
        <v>4740</v>
      </c>
      <c r="E2391" s="1" t="s">
        <v>4741</v>
      </c>
      <c r="F2391" s="2">
        <v>1399</v>
      </c>
      <c r="G2391" s="3">
        <v>6.9</v>
      </c>
      <c r="H2391" s="4" t="str">
        <f>IF(AND(A2391="Yes",C2391="School"),COUNTIFS($A$6:A2391,"Yes",$C$6:C2391,"School"),"")</f>
        <v/>
      </c>
    </row>
    <row r="2392" spans="1:8">
      <c r="A2392" s="13"/>
      <c r="B2392" s="1" t="s">
        <v>4724</v>
      </c>
      <c r="C2392" s="1" t="s">
        <v>24</v>
      </c>
      <c r="D2392" s="1" t="s">
        <v>4742</v>
      </c>
      <c r="E2392" s="1" t="s">
        <v>4743</v>
      </c>
      <c r="F2392" s="2">
        <v>2049</v>
      </c>
      <c r="G2392" s="3">
        <v>20.6</v>
      </c>
      <c r="H2392" s="4" t="str">
        <f>IF(AND(A2392="Yes",C2392="School"),COUNTIFS($A$6:A2392,"Yes",$C$6:C2392,"School"),"")</f>
        <v/>
      </c>
    </row>
    <row r="2393" spans="1:8">
      <c r="A2393" s="13"/>
      <c r="B2393" s="1" t="s">
        <v>4724</v>
      </c>
      <c r="C2393" s="1" t="s">
        <v>24</v>
      </c>
      <c r="D2393" s="1" t="s">
        <v>4744</v>
      </c>
      <c r="E2393" s="1" t="s">
        <v>4745</v>
      </c>
      <c r="F2393" s="2">
        <v>913</v>
      </c>
      <c r="G2393" s="3">
        <v>30.2</v>
      </c>
      <c r="H2393" s="4" t="str">
        <f>IF(AND(A2393="Yes",C2393="School"),COUNTIFS($A$6:A2393,"Yes",$C$6:C2393,"School"),"")</f>
        <v/>
      </c>
    </row>
    <row r="2394" spans="1:8">
      <c r="A2394" s="13"/>
      <c r="B2394" s="1" t="s">
        <v>4724</v>
      </c>
      <c r="C2394" s="1" t="s">
        <v>24</v>
      </c>
      <c r="D2394" s="1" t="s">
        <v>4746</v>
      </c>
      <c r="E2394" s="1" t="s">
        <v>4747</v>
      </c>
      <c r="F2394" s="2">
        <v>2051</v>
      </c>
      <c r="G2394" s="3">
        <v>44.1</v>
      </c>
      <c r="H2394" s="4" t="str">
        <f>IF(AND(A2394="Yes",C2394="School"),COUNTIFS($A$6:A2394,"Yes",$C$6:C2394,"School"),"")</f>
        <v/>
      </c>
    </row>
    <row r="2395" spans="1:8">
      <c r="A2395" s="13"/>
      <c r="B2395" s="1" t="s">
        <v>4724</v>
      </c>
      <c r="C2395" s="1" t="s">
        <v>24</v>
      </c>
      <c r="D2395" s="1" t="s">
        <v>4748</v>
      </c>
      <c r="E2395" s="1" t="s">
        <v>4749</v>
      </c>
      <c r="F2395" s="2">
        <v>428</v>
      </c>
      <c r="G2395" s="3">
        <v>58.6</v>
      </c>
      <c r="H2395" s="4" t="str">
        <f>IF(AND(A2395="Yes",C2395="School"),COUNTIFS($A$6:A2395,"Yes",$C$6:C2395,"School"),"")</f>
        <v/>
      </c>
    </row>
    <row r="2396" spans="1:8">
      <c r="A2396" s="13"/>
      <c r="B2396" s="1" t="s">
        <v>4724</v>
      </c>
      <c r="C2396" s="1" t="s">
        <v>24</v>
      </c>
      <c r="D2396" s="1" t="s">
        <v>4750</v>
      </c>
      <c r="E2396" s="1" t="s">
        <v>4751</v>
      </c>
      <c r="F2396" s="2">
        <v>343</v>
      </c>
      <c r="G2396" s="3">
        <v>62.7</v>
      </c>
      <c r="H2396" s="4" t="str">
        <f>IF(AND(A2396="Yes",C2396="School"),COUNTIFS($A$6:A2396,"Yes",$C$6:C2396,"School"),"")</f>
        <v/>
      </c>
    </row>
    <row r="2397" spans="1:8">
      <c r="A2397" s="13"/>
      <c r="B2397" s="1" t="s">
        <v>4724</v>
      </c>
      <c r="C2397" s="1" t="s">
        <v>24</v>
      </c>
      <c r="D2397" s="1" t="s">
        <v>4752</v>
      </c>
      <c r="E2397" s="1" t="s">
        <v>4753</v>
      </c>
      <c r="F2397" s="2">
        <v>751</v>
      </c>
      <c r="G2397" s="3">
        <v>25.3</v>
      </c>
      <c r="H2397" s="4" t="str">
        <f>IF(AND(A2397="Yes",C2397="School"),COUNTIFS($A$6:A2397,"Yes",$C$6:C2397,"School"),"")</f>
        <v/>
      </c>
    </row>
    <row r="2398" spans="1:8">
      <c r="A2398" s="13"/>
      <c r="B2398" s="1" t="s">
        <v>4724</v>
      </c>
      <c r="C2398" s="1" t="s">
        <v>24</v>
      </c>
      <c r="D2398" s="1" t="s">
        <v>4754</v>
      </c>
      <c r="E2398" s="1" t="s">
        <v>4755</v>
      </c>
      <c r="F2398" s="2">
        <v>670</v>
      </c>
      <c r="G2398" s="3">
        <v>43.3</v>
      </c>
      <c r="H2398" s="4" t="str">
        <f>IF(AND(A2398="Yes",C2398="School"),COUNTIFS($A$6:A2398,"Yes",$C$6:C2398,"School"),"")</f>
        <v/>
      </c>
    </row>
    <row r="2399" spans="1:8">
      <c r="A2399" s="13"/>
      <c r="B2399" s="1" t="s">
        <v>4724</v>
      </c>
      <c r="C2399" s="1" t="s">
        <v>24</v>
      </c>
      <c r="D2399" s="1" t="s">
        <v>4756</v>
      </c>
      <c r="E2399" s="1" t="s">
        <v>4757</v>
      </c>
      <c r="F2399" s="2">
        <v>563</v>
      </c>
      <c r="G2399" s="3">
        <v>18.7</v>
      </c>
      <c r="H2399" s="4" t="str">
        <f>IF(AND(A2399="Yes",C2399="School"),COUNTIFS($A$6:A2399,"Yes",$C$6:C2399,"School"),"")</f>
        <v/>
      </c>
    </row>
    <row r="2400" spans="1:8">
      <c r="A2400" s="13"/>
      <c r="B2400" s="1" t="s">
        <v>4724</v>
      </c>
      <c r="C2400" s="1" t="s">
        <v>24</v>
      </c>
      <c r="D2400" s="1" t="s">
        <v>4758</v>
      </c>
      <c r="E2400" s="1" t="s">
        <v>4759</v>
      </c>
      <c r="F2400" s="2">
        <v>683</v>
      </c>
      <c r="G2400" s="3">
        <v>61.6</v>
      </c>
      <c r="H2400" s="4" t="str">
        <f>IF(AND(A2400="Yes",C2400="School"),COUNTIFS($A$6:A2400,"Yes",$C$6:C2400,"School"),"")</f>
        <v/>
      </c>
    </row>
    <row r="2401" spans="1:8">
      <c r="A2401" s="13"/>
      <c r="B2401" s="1" t="s">
        <v>4724</v>
      </c>
      <c r="C2401" s="1" t="s">
        <v>24</v>
      </c>
      <c r="D2401" s="1" t="s">
        <v>4760</v>
      </c>
      <c r="E2401" s="1" t="s">
        <v>4761</v>
      </c>
      <c r="F2401" s="2">
        <v>692</v>
      </c>
      <c r="G2401" s="3">
        <v>21.7</v>
      </c>
      <c r="H2401" s="4" t="str">
        <f>IF(AND(A2401="Yes",C2401="School"),COUNTIFS($A$6:A2401,"Yes",$C$6:C2401,"School"),"")</f>
        <v/>
      </c>
    </row>
    <row r="2402" spans="1:8">
      <c r="A2402" s="13"/>
      <c r="B2402" s="1" t="s">
        <v>4724</v>
      </c>
      <c r="C2402" s="1" t="s">
        <v>24</v>
      </c>
      <c r="D2402" s="1" t="s">
        <v>4762</v>
      </c>
      <c r="E2402" s="1" t="s">
        <v>4763</v>
      </c>
      <c r="F2402" s="2">
        <v>698</v>
      </c>
      <c r="G2402" s="3">
        <v>64.900000000000006</v>
      </c>
      <c r="H2402" s="4" t="str">
        <f>IF(AND(A2402="Yes",C2402="School"),COUNTIFS($A$6:A2402,"Yes",$C$6:C2402,"School"),"")</f>
        <v/>
      </c>
    </row>
    <row r="2403" spans="1:8">
      <c r="A2403" s="13"/>
      <c r="B2403" s="1" t="s">
        <v>4724</v>
      </c>
      <c r="C2403" s="1" t="s">
        <v>24</v>
      </c>
      <c r="D2403" s="1" t="s">
        <v>4764</v>
      </c>
      <c r="E2403" s="1" t="s">
        <v>4765</v>
      </c>
      <c r="F2403" s="2">
        <v>646</v>
      </c>
      <c r="G2403" s="3">
        <v>45.4</v>
      </c>
      <c r="H2403" s="4" t="str">
        <f>IF(AND(A2403="Yes",C2403="School"),COUNTIFS($A$6:A2403,"Yes",$C$6:C2403,"School"),"")</f>
        <v/>
      </c>
    </row>
    <row r="2404" spans="1:8">
      <c r="A2404" s="13"/>
      <c r="B2404" s="1" t="s">
        <v>4724</v>
      </c>
      <c r="C2404" s="1" t="s">
        <v>24</v>
      </c>
      <c r="D2404" s="1" t="s">
        <v>4766</v>
      </c>
      <c r="E2404" s="1" t="s">
        <v>4767</v>
      </c>
      <c r="F2404" s="2">
        <v>632</v>
      </c>
      <c r="G2404" s="3">
        <v>42.7</v>
      </c>
      <c r="H2404" s="4" t="str">
        <f>IF(AND(A2404="Yes",C2404="School"),COUNTIFS($A$6:A2404,"Yes",$C$6:C2404,"School"),"")</f>
        <v/>
      </c>
    </row>
    <row r="2405" spans="1:8">
      <c r="A2405" s="13"/>
      <c r="B2405" s="1" t="s">
        <v>4724</v>
      </c>
      <c r="C2405" s="1" t="s">
        <v>24</v>
      </c>
      <c r="D2405" s="1" t="s">
        <v>1514</v>
      </c>
      <c r="E2405" s="1" t="s">
        <v>4768</v>
      </c>
      <c r="F2405" s="2">
        <v>369</v>
      </c>
      <c r="G2405" s="3">
        <v>50.7</v>
      </c>
      <c r="H2405" s="4" t="str">
        <f>IF(AND(A2405="Yes",C2405="School"),COUNTIFS($A$6:A2405,"Yes",$C$6:C2405,"School"),"")</f>
        <v/>
      </c>
    </row>
    <row r="2406" spans="1:8">
      <c r="A2406" s="13"/>
      <c r="B2406" s="1" t="s">
        <v>4724</v>
      </c>
      <c r="C2406" s="1" t="s">
        <v>24</v>
      </c>
      <c r="D2406" s="1" t="s">
        <v>4769</v>
      </c>
      <c r="E2406" s="1" t="s">
        <v>4770</v>
      </c>
      <c r="F2406" s="2">
        <v>513</v>
      </c>
      <c r="G2406" s="3">
        <v>46</v>
      </c>
      <c r="H2406" s="4" t="str">
        <f>IF(AND(A2406="Yes",C2406="School"),COUNTIFS($A$6:A2406,"Yes",$C$6:C2406,"School"),"")</f>
        <v/>
      </c>
    </row>
    <row r="2407" spans="1:8">
      <c r="A2407" s="13"/>
      <c r="B2407" s="1" t="s">
        <v>4724</v>
      </c>
      <c r="C2407" s="1" t="s">
        <v>24</v>
      </c>
      <c r="D2407" s="1" t="s">
        <v>1722</v>
      </c>
      <c r="E2407" s="1" t="s">
        <v>4771</v>
      </c>
      <c r="F2407" s="2">
        <v>682</v>
      </c>
      <c r="G2407" s="3">
        <v>65</v>
      </c>
      <c r="H2407" s="4" t="str">
        <f>IF(AND(A2407="Yes",C2407="School"),COUNTIFS($A$6:A2407,"Yes",$C$6:C2407,"School"),"")</f>
        <v/>
      </c>
    </row>
    <row r="2408" spans="1:8">
      <c r="A2408" s="13"/>
      <c r="B2408" s="1" t="s">
        <v>4724</v>
      </c>
      <c r="C2408" s="1" t="s">
        <v>24</v>
      </c>
      <c r="D2408" s="1" t="s">
        <v>4772</v>
      </c>
      <c r="E2408" s="1" t="s">
        <v>4773</v>
      </c>
      <c r="F2408" s="2">
        <v>462</v>
      </c>
      <c r="G2408" s="3">
        <v>40</v>
      </c>
      <c r="H2408" s="4" t="str">
        <f>IF(AND(A2408="Yes",C2408="School"),COUNTIFS($A$6:A2408,"Yes",$C$6:C2408,"School"),"")</f>
        <v/>
      </c>
    </row>
    <row r="2409" spans="1:8">
      <c r="A2409" s="13"/>
      <c r="B2409" s="1" t="s">
        <v>4724</v>
      </c>
      <c r="C2409" s="1" t="s">
        <v>24</v>
      </c>
      <c r="D2409" s="1" t="s">
        <v>4774</v>
      </c>
      <c r="E2409" s="1" t="s">
        <v>4775</v>
      </c>
      <c r="F2409" s="2">
        <v>698</v>
      </c>
      <c r="G2409" s="3">
        <v>34.200000000000003</v>
      </c>
      <c r="H2409" s="4" t="str">
        <f>IF(AND(A2409="Yes",C2409="School"),COUNTIFS($A$6:A2409,"Yes",$C$6:C2409,"School"),"")</f>
        <v/>
      </c>
    </row>
    <row r="2410" spans="1:8">
      <c r="A2410" s="13"/>
      <c r="B2410" s="1" t="s">
        <v>4724</v>
      </c>
      <c r="C2410" s="1" t="s">
        <v>24</v>
      </c>
      <c r="D2410" s="1" t="s">
        <v>4776</v>
      </c>
      <c r="E2410" s="1" t="s">
        <v>4777</v>
      </c>
      <c r="F2410" s="2">
        <v>707</v>
      </c>
      <c r="G2410" s="3">
        <v>26</v>
      </c>
      <c r="H2410" s="4" t="str">
        <f>IF(AND(A2410="Yes",C2410="School"),COUNTIFS($A$6:A2410,"Yes",$C$6:C2410,"School"),"")</f>
        <v/>
      </c>
    </row>
    <row r="2411" spans="1:8">
      <c r="A2411" s="13"/>
      <c r="B2411" s="1" t="s">
        <v>4724</v>
      </c>
      <c r="C2411" s="1" t="s">
        <v>24</v>
      </c>
      <c r="D2411" s="1" t="s">
        <v>4778</v>
      </c>
      <c r="E2411" s="1" t="s">
        <v>4779</v>
      </c>
      <c r="F2411" s="2">
        <v>360</v>
      </c>
      <c r="G2411" s="3">
        <v>68.099999999999994</v>
      </c>
      <c r="H2411" s="4" t="str">
        <f>IF(AND(A2411="Yes",C2411="School"),COUNTIFS($A$6:A2411,"Yes",$C$6:C2411,"School"),"")</f>
        <v/>
      </c>
    </row>
    <row r="2412" spans="1:8">
      <c r="A2412" s="13"/>
      <c r="B2412" s="1" t="s">
        <v>4724</v>
      </c>
      <c r="C2412" s="1" t="s">
        <v>24</v>
      </c>
      <c r="D2412" s="1" t="s">
        <v>4780</v>
      </c>
      <c r="E2412" s="1" t="s">
        <v>4781</v>
      </c>
      <c r="F2412" s="2">
        <v>957</v>
      </c>
      <c r="G2412" s="3">
        <v>32.299999999999997</v>
      </c>
      <c r="H2412" s="4" t="str">
        <f>IF(AND(A2412="Yes",C2412="School"),COUNTIFS($A$6:A2412,"Yes",$C$6:C2412,"School"),"")</f>
        <v/>
      </c>
    </row>
    <row r="2413" spans="1:8">
      <c r="A2413" s="13"/>
      <c r="B2413" s="1" t="s">
        <v>4724</v>
      </c>
      <c r="C2413" s="1" t="s">
        <v>24</v>
      </c>
      <c r="D2413" s="1" t="s">
        <v>4782</v>
      </c>
      <c r="E2413" s="1" t="s">
        <v>4783</v>
      </c>
      <c r="F2413" s="2">
        <v>579</v>
      </c>
      <c r="G2413" s="3">
        <v>30.4</v>
      </c>
      <c r="H2413" s="4" t="str">
        <f>IF(AND(A2413="Yes",C2413="School"),COUNTIFS($A$6:A2413,"Yes",$C$6:C2413,"School"),"")</f>
        <v/>
      </c>
    </row>
    <row r="2414" spans="1:8">
      <c r="A2414" s="13"/>
      <c r="B2414" s="1" t="s">
        <v>4724</v>
      </c>
      <c r="C2414" s="1" t="s">
        <v>24</v>
      </c>
      <c r="D2414" s="1" t="s">
        <v>4784</v>
      </c>
      <c r="E2414" s="1" t="s">
        <v>4785</v>
      </c>
      <c r="F2414" s="2">
        <v>861</v>
      </c>
      <c r="G2414" s="3">
        <v>61.8</v>
      </c>
      <c r="H2414" s="4" t="str">
        <f>IF(AND(A2414="Yes",C2414="School"),COUNTIFS($A$6:A2414,"Yes",$C$6:C2414,"School"),"")</f>
        <v/>
      </c>
    </row>
    <row r="2415" spans="1:8">
      <c r="A2415" s="13"/>
      <c r="B2415" s="1" t="s">
        <v>4724</v>
      </c>
      <c r="C2415" s="1" t="s">
        <v>24</v>
      </c>
      <c r="D2415" s="1" t="s">
        <v>4695</v>
      </c>
      <c r="E2415" s="1" t="s">
        <v>4786</v>
      </c>
      <c r="F2415" s="2">
        <v>642</v>
      </c>
      <c r="G2415" s="3">
        <v>59.8</v>
      </c>
      <c r="H2415" s="4" t="str">
        <f>IF(AND(A2415="Yes",C2415="School"),COUNTIFS($A$6:A2415,"Yes",$C$6:C2415,"School"),"")</f>
        <v/>
      </c>
    </row>
    <row r="2416" spans="1:8">
      <c r="A2416" s="13"/>
      <c r="B2416" s="1" t="s">
        <v>4724</v>
      </c>
      <c r="C2416" s="1" t="s">
        <v>24</v>
      </c>
      <c r="D2416" s="1" t="s">
        <v>4787</v>
      </c>
      <c r="E2416" s="1" t="s">
        <v>4788</v>
      </c>
      <c r="F2416" s="2">
        <v>432</v>
      </c>
      <c r="G2416" s="3">
        <v>38.9</v>
      </c>
      <c r="H2416" s="4" t="str">
        <f>IF(AND(A2416="Yes",C2416="School"),COUNTIFS($A$6:A2416,"Yes",$C$6:C2416,"School"),"")</f>
        <v/>
      </c>
    </row>
    <row r="2417" spans="1:8">
      <c r="A2417" s="13"/>
      <c r="B2417" s="1" t="s">
        <v>4724</v>
      </c>
      <c r="C2417" s="1" t="s">
        <v>24</v>
      </c>
      <c r="D2417" s="1" t="s">
        <v>4789</v>
      </c>
      <c r="E2417" s="1" t="s">
        <v>4790</v>
      </c>
      <c r="F2417" s="2">
        <v>1921</v>
      </c>
      <c r="G2417" s="3">
        <v>40.4</v>
      </c>
      <c r="H2417" s="4" t="str">
        <f>IF(AND(A2417="Yes",C2417="School"),COUNTIFS($A$6:A2417,"Yes",$C$6:C2417,"School"),"")</f>
        <v/>
      </c>
    </row>
    <row r="2418" spans="1:8">
      <c r="A2418" s="13"/>
      <c r="B2418" s="1" t="s">
        <v>4724</v>
      </c>
      <c r="C2418" s="1" t="s">
        <v>24</v>
      </c>
      <c r="D2418" s="1" t="s">
        <v>4791</v>
      </c>
      <c r="E2418" s="1" t="s">
        <v>4792</v>
      </c>
      <c r="F2418" s="2">
        <v>802</v>
      </c>
      <c r="G2418" s="3">
        <v>21.2</v>
      </c>
      <c r="H2418" s="4" t="str">
        <f>IF(AND(A2418="Yes",C2418="School"),COUNTIFS($A$6:A2418,"Yes",$C$6:C2418,"School"),"")</f>
        <v/>
      </c>
    </row>
    <row r="2419" spans="1:8">
      <c r="A2419" s="13"/>
      <c r="B2419" s="1" t="s">
        <v>4724</v>
      </c>
      <c r="C2419" s="1" t="s">
        <v>24</v>
      </c>
      <c r="D2419" s="1" t="s">
        <v>4793</v>
      </c>
      <c r="E2419" s="1" t="s">
        <v>4794</v>
      </c>
      <c r="F2419" s="2">
        <v>432</v>
      </c>
      <c r="G2419" s="3">
        <v>58.8</v>
      </c>
      <c r="H2419" s="4" t="str">
        <f>IF(AND(A2419="Yes",C2419="School"),COUNTIFS($A$6:A2419,"Yes",$C$6:C2419,"School"),"")</f>
        <v/>
      </c>
    </row>
    <row r="2420" spans="1:8">
      <c r="A2420" s="13"/>
      <c r="B2420" s="1" t="s">
        <v>4724</v>
      </c>
      <c r="C2420" s="1" t="s">
        <v>24</v>
      </c>
      <c r="D2420" s="1" t="s">
        <v>4795</v>
      </c>
      <c r="E2420" s="1" t="s">
        <v>4796</v>
      </c>
      <c r="F2420" s="2">
        <v>719</v>
      </c>
      <c r="G2420" s="3">
        <v>45.1</v>
      </c>
      <c r="H2420" s="4" t="str">
        <f>IF(AND(A2420="Yes",C2420="School"),COUNTIFS($A$6:A2420,"Yes",$C$6:C2420,"School"),"")</f>
        <v/>
      </c>
    </row>
    <row r="2421" spans="1:8">
      <c r="A2421" s="13"/>
      <c r="B2421" s="1" t="s">
        <v>4724</v>
      </c>
      <c r="C2421" s="1" t="s">
        <v>24</v>
      </c>
      <c r="D2421" s="1" t="s">
        <v>4797</v>
      </c>
      <c r="E2421" s="1" t="s">
        <v>4798</v>
      </c>
      <c r="F2421" s="2">
        <v>578</v>
      </c>
      <c r="G2421" s="3">
        <v>38.1</v>
      </c>
      <c r="H2421" s="4" t="str">
        <f>IF(AND(A2421="Yes",C2421="School"),COUNTIFS($A$6:A2421,"Yes",$C$6:C2421,"School"),"")</f>
        <v/>
      </c>
    </row>
    <row r="2422" spans="1:8">
      <c r="A2422" s="13"/>
      <c r="B2422" s="1" t="s">
        <v>4724</v>
      </c>
      <c r="C2422" s="1" t="s">
        <v>24</v>
      </c>
      <c r="D2422" s="1" t="s">
        <v>4799</v>
      </c>
      <c r="E2422" s="1" t="s">
        <v>4800</v>
      </c>
      <c r="F2422" s="2">
        <v>60</v>
      </c>
      <c r="G2422" s="3">
        <v>78.3</v>
      </c>
      <c r="H2422" s="4" t="str">
        <f>IF(AND(A2422="Yes",C2422="School"),COUNTIFS($A$6:A2422,"Yes",$C$6:C2422,"School"),"")</f>
        <v/>
      </c>
    </row>
    <row r="2423" spans="1:8">
      <c r="A2423" s="13"/>
      <c r="B2423" s="1" t="s">
        <v>4724</v>
      </c>
      <c r="C2423" s="1" t="s">
        <v>24</v>
      </c>
      <c r="D2423" s="1" t="s">
        <v>4801</v>
      </c>
      <c r="E2423" s="1" t="s">
        <v>4802</v>
      </c>
      <c r="F2423" s="2">
        <v>543</v>
      </c>
      <c r="G2423" s="3">
        <v>68.5</v>
      </c>
      <c r="H2423" s="4" t="str">
        <f>IF(AND(A2423="Yes",C2423="School"),COUNTIFS($A$6:A2423,"Yes",$C$6:C2423,"School"),"")</f>
        <v/>
      </c>
    </row>
    <row r="2424" spans="1:8">
      <c r="A2424" s="13"/>
      <c r="B2424" s="1" t="s">
        <v>4724</v>
      </c>
      <c r="C2424" s="1" t="s">
        <v>24</v>
      </c>
      <c r="D2424" s="1" t="s">
        <v>4803</v>
      </c>
      <c r="E2424" s="1" t="s">
        <v>4804</v>
      </c>
      <c r="F2424" s="2">
        <v>131</v>
      </c>
      <c r="G2424" s="3" t="s">
        <v>3211</v>
      </c>
      <c r="H2424" s="4" t="str">
        <f>IF(AND(A2424="Yes",C2424="School"),COUNTIFS($A$6:A2424,"Yes",$C$6:C2424,"School"),"")</f>
        <v/>
      </c>
    </row>
    <row r="2425" spans="1:8">
      <c r="A2425" s="13"/>
      <c r="B2425" s="1" t="s">
        <v>4724</v>
      </c>
      <c r="C2425" s="1" t="s">
        <v>24</v>
      </c>
      <c r="D2425" s="1" t="s">
        <v>4805</v>
      </c>
      <c r="E2425" s="1" t="s">
        <v>4806</v>
      </c>
      <c r="F2425" s="2">
        <v>849</v>
      </c>
      <c r="G2425" s="3">
        <v>9.5</v>
      </c>
      <c r="H2425" s="4" t="str">
        <f>IF(AND(A2425="Yes",C2425="School"),COUNTIFS($A$6:A2425,"Yes",$C$6:C2425,"School"),"")</f>
        <v/>
      </c>
    </row>
    <row r="2426" spans="1:8">
      <c r="A2426" s="13"/>
      <c r="B2426" s="1" t="s">
        <v>4724</v>
      </c>
      <c r="C2426" s="1" t="s">
        <v>24</v>
      </c>
      <c r="D2426" s="1" t="s">
        <v>4807</v>
      </c>
      <c r="E2426" s="1" t="s">
        <v>4808</v>
      </c>
      <c r="F2426" s="2">
        <v>1014</v>
      </c>
      <c r="G2426" s="3">
        <v>15.9</v>
      </c>
      <c r="H2426" s="4" t="str">
        <f>IF(AND(A2426="Yes",C2426="School"),COUNTIFS($A$6:A2426,"Yes",$C$6:C2426,"School"),"")</f>
        <v/>
      </c>
    </row>
    <row r="2427" spans="1:8">
      <c r="A2427" s="13"/>
      <c r="B2427" s="1" t="s">
        <v>4724</v>
      </c>
      <c r="C2427" s="1" t="s">
        <v>24</v>
      </c>
      <c r="D2427" s="1" t="s">
        <v>4809</v>
      </c>
      <c r="E2427" s="1" t="s">
        <v>4810</v>
      </c>
      <c r="F2427" s="2">
        <v>652</v>
      </c>
      <c r="G2427" s="3">
        <v>56.3</v>
      </c>
      <c r="H2427" s="4" t="str">
        <f>IF(AND(A2427="Yes",C2427="School"),COUNTIFS($A$6:A2427,"Yes",$C$6:C2427,"School"),"")</f>
        <v/>
      </c>
    </row>
    <row r="2428" spans="1:8">
      <c r="A2428" s="13"/>
      <c r="B2428" s="1" t="s">
        <v>4724</v>
      </c>
      <c r="C2428" s="1" t="s">
        <v>24</v>
      </c>
      <c r="D2428" s="1" t="s">
        <v>4811</v>
      </c>
      <c r="E2428" s="1" t="s">
        <v>4812</v>
      </c>
      <c r="F2428" s="2">
        <v>1002</v>
      </c>
      <c r="G2428" s="3">
        <v>50.1</v>
      </c>
      <c r="H2428" s="4" t="str">
        <f>IF(AND(A2428="Yes",C2428="School"),COUNTIFS($A$6:A2428,"Yes",$C$6:C2428,"School"),"")</f>
        <v/>
      </c>
    </row>
    <row r="2429" spans="1:8">
      <c r="A2429" s="13"/>
      <c r="B2429" s="1" t="s">
        <v>4724</v>
      </c>
      <c r="C2429" s="1" t="s">
        <v>24</v>
      </c>
      <c r="D2429" s="1" t="s">
        <v>4813</v>
      </c>
      <c r="E2429" s="1" t="s">
        <v>4814</v>
      </c>
      <c r="F2429" s="2">
        <v>547</v>
      </c>
      <c r="G2429" s="3">
        <v>44.2</v>
      </c>
      <c r="H2429" s="4" t="str">
        <f>IF(AND(A2429="Yes",C2429="School"),COUNTIFS($A$6:A2429,"Yes",$C$6:C2429,"School"),"")</f>
        <v/>
      </c>
    </row>
    <row r="2430" spans="1:8">
      <c r="A2430" s="13"/>
      <c r="B2430" s="1" t="s">
        <v>4724</v>
      </c>
      <c r="C2430" s="1" t="s">
        <v>24</v>
      </c>
      <c r="D2430" s="1" t="s">
        <v>4815</v>
      </c>
      <c r="E2430" s="1" t="s">
        <v>4816</v>
      </c>
      <c r="F2430" s="2">
        <v>597</v>
      </c>
      <c r="G2430" s="3">
        <v>61.6</v>
      </c>
      <c r="H2430" s="4" t="str">
        <f>IF(AND(A2430="Yes",C2430="School"),COUNTIFS($A$6:A2430,"Yes",$C$6:C2430,"School"),"")</f>
        <v/>
      </c>
    </row>
    <row r="2431" spans="1:8">
      <c r="A2431" s="13"/>
      <c r="B2431" s="1" t="s">
        <v>4724</v>
      </c>
      <c r="C2431" s="1" t="s">
        <v>24</v>
      </c>
      <c r="D2431" s="1" t="s">
        <v>4817</v>
      </c>
      <c r="E2431" s="1" t="s">
        <v>4818</v>
      </c>
      <c r="F2431" s="2">
        <v>611</v>
      </c>
      <c r="G2431" s="3">
        <v>70.5</v>
      </c>
      <c r="H2431" s="4" t="str">
        <f>IF(AND(A2431="Yes",C2431="School"),COUNTIFS($A$6:A2431,"Yes",$C$6:C2431,"School"),"")</f>
        <v/>
      </c>
    </row>
    <row r="2432" spans="1:8">
      <c r="A2432" s="13"/>
      <c r="B2432" s="1" t="s">
        <v>4724</v>
      </c>
      <c r="C2432" s="1" t="s">
        <v>24</v>
      </c>
      <c r="D2432" s="1" t="s">
        <v>4819</v>
      </c>
      <c r="E2432" s="1" t="s">
        <v>4820</v>
      </c>
      <c r="F2432" s="2">
        <v>607</v>
      </c>
      <c r="G2432" s="3">
        <v>34.1</v>
      </c>
      <c r="H2432" s="4" t="str">
        <f>IF(AND(A2432="Yes",C2432="School"),COUNTIFS($A$6:A2432,"Yes",$C$6:C2432,"School"),"")</f>
        <v/>
      </c>
    </row>
    <row r="2433" spans="1:8">
      <c r="A2433" s="13"/>
      <c r="B2433" s="1" t="s">
        <v>4724</v>
      </c>
      <c r="C2433" s="1" t="s">
        <v>24</v>
      </c>
      <c r="D2433" s="1" t="s">
        <v>4821</v>
      </c>
      <c r="E2433" s="1" t="s">
        <v>4822</v>
      </c>
      <c r="F2433" s="2">
        <v>620</v>
      </c>
      <c r="G2433" s="3">
        <v>64.2</v>
      </c>
      <c r="H2433" s="4" t="str">
        <f>IF(AND(A2433="Yes",C2433="School"),COUNTIFS($A$6:A2433,"Yes",$C$6:C2433,"School"),"")</f>
        <v/>
      </c>
    </row>
    <row r="2434" spans="1:8">
      <c r="A2434" s="13"/>
      <c r="B2434" s="1" t="s">
        <v>4724</v>
      </c>
      <c r="C2434" s="1" t="s">
        <v>24</v>
      </c>
      <c r="D2434" s="1" t="s">
        <v>4823</v>
      </c>
      <c r="E2434" s="1" t="s">
        <v>4824</v>
      </c>
      <c r="F2434" s="2">
        <v>1115</v>
      </c>
      <c r="G2434" s="3">
        <v>59.1</v>
      </c>
      <c r="H2434" s="4" t="str">
        <f>IF(AND(A2434="Yes",C2434="School"),COUNTIFS($A$6:A2434,"Yes",$C$6:C2434,"School"),"")</f>
        <v/>
      </c>
    </row>
    <row r="2435" spans="1:8">
      <c r="A2435" s="13"/>
      <c r="B2435" s="1" t="s">
        <v>4724</v>
      </c>
      <c r="C2435" s="1" t="s">
        <v>24</v>
      </c>
      <c r="D2435" s="1" t="s">
        <v>4825</v>
      </c>
      <c r="E2435" s="1" t="s">
        <v>4826</v>
      </c>
      <c r="F2435" s="2">
        <v>710</v>
      </c>
      <c r="G2435" s="3">
        <v>58.7</v>
      </c>
      <c r="H2435" s="4" t="str">
        <f>IF(AND(A2435="Yes",C2435="School"),COUNTIFS($A$6:A2435,"Yes",$C$6:C2435,"School"),"")</f>
        <v/>
      </c>
    </row>
    <row r="2436" spans="1:8">
      <c r="A2436" s="13"/>
      <c r="B2436" s="1" t="s">
        <v>4724</v>
      </c>
      <c r="C2436" s="1" t="s">
        <v>24</v>
      </c>
      <c r="D2436" s="1" t="s">
        <v>4827</v>
      </c>
      <c r="E2436" s="1" t="s">
        <v>4828</v>
      </c>
      <c r="F2436" s="2">
        <v>1809</v>
      </c>
      <c r="G2436" s="3">
        <v>66</v>
      </c>
      <c r="H2436" s="4" t="str">
        <f>IF(AND(A2436="Yes",C2436="School"),COUNTIFS($A$6:A2436,"Yes",$C$6:C2436,"School"),"")</f>
        <v/>
      </c>
    </row>
    <row r="2437" spans="1:8">
      <c r="A2437" s="13"/>
      <c r="B2437" s="1" t="s">
        <v>4724</v>
      </c>
      <c r="C2437" s="1" t="s">
        <v>24</v>
      </c>
      <c r="D2437" s="1" t="s">
        <v>4829</v>
      </c>
      <c r="E2437" s="1" t="s">
        <v>4830</v>
      </c>
      <c r="F2437" s="2">
        <v>2625</v>
      </c>
      <c r="G2437" s="3">
        <v>26.9</v>
      </c>
      <c r="H2437" s="4" t="str">
        <f>IF(AND(A2437="Yes",C2437="School"),COUNTIFS($A$6:A2437,"Yes",$C$6:C2437,"School"),"")</f>
        <v/>
      </c>
    </row>
    <row r="2438" spans="1:8">
      <c r="A2438" s="13"/>
      <c r="B2438" s="1" t="s">
        <v>4724</v>
      </c>
      <c r="C2438" s="1" t="s">
        <v>24</v>
      </c>
      <c r="D2438" s="1" t="s">
        <v>4831</v>
      </c>
      <c r="E2438" s="1" t="s">
        <v>4832</v>
      </c>
      <c r="F2438" s="2">
        <v>651</v>
      </c>
      <c r="G2438" s="3">
        <v>31.8</v>
      </c>
      <c r="H2438" s="4" t="str">
        <f>IF(AND(A2438="Yes",C2438="School"),COUNTIFS($A$6:A2438,"Yes",$C$6:C2438,"School"),"")</f>
        <v/>
      </c>
    </row>
    <row r="2439" spans="1:8">
      <c r="A2439" s="13"/>
      <c r="B2439" s="1" t="s">
        <v>4724</v>
      </c>
      <c r="C2439" s="1" t="s">
        <v>24</v>
      </c>
      <c r="D2439" s="1" t="s">
        <v>4833</v>
      </c>
      <c r="E2439" s="1" t="s">
        <v>4834</v>
      </c>
      <c r="F2439" s="2">
        <v>801</v>
      </c>
      <c r="G2439" s="3">
        <v>18.100000000000001</v>
      </c>
      <c r="H2439" s="4" t="str">
        <f>IF(AND(A2439="Yes",C2439="School"),COUNTIFS($A$6:A2439,"Yes",$C$6:C2439,"School"),"")</f>
        <v/>
      </c>
    </row>
    <row r="2440" spans="1:8">
      <c r="A2440" s="13"/>
      <c r="B2440" s="1" t="s">
        <v>4724</v>
      </c>
      <c r="C2440" s="1" t="s">
        <v>24</v>
      </c>
      <c r="D2440" s="1" t="s">
        <v>4835</v>
      </c>
      <c r="E2440" s="1" t="s">
        <v>4836</v>
      </c>
      <c r="F2440" s="2">
        <v>455</v>
      </c>
      <c r="G2440" s="3">
        <v>47.9</v>
      </c>
      <c r="H2440" s="4" t="str">
        <f>IF(AND(A2440="Yes",C2440="School"),COUNTIFS($A$6:A2440,"Yes",$C$6:C2440,"School"),"")</f>
        <v/>
      </c>
    </row>
    <row r="2441" spans="1:8">
      <c r="A2441" s="13"/>
      <c r="B2441" s="1" t="s">
        <v>4724</v>
      </c>
      <c r="C2441" s="1" t="s">
        <v>24</v>
      </c>
      <c r="D2441" s="1" t="s">
        <v>4837</v>
      </c>
      <c r="E2441" s="1" t="s">
        <v>4838</v>
      </c>
      <c r="F2441" s="2">
        <v>593</v>
      </c>
      <c r="G2441" s="3">
        <v>60.7</v>
      </c>
      <c r="H2441" s="4" t="str">
        <f>IF(AND(A2441="Yes",C2441="School"),COUNTIFS($A$6:A2441,"Yes",$C$6:C2441,"School"),"")</f>
        <v/>
      </c>
    </row>
    <row r="2442" spans="1:8">
      <c r="A2442" s="13"/>
      <c r="B2442" s="1" t="s">
        <v>4724</v>
      </c>
      <c r="C2442" s="1" t="s">
        <v>24</v>
      </c>
      <c r="D2442" s="1" t="s">
        <v>4839</v>
      </c>
      <c r="E2442" s="1" t="s">
        <v>4840</v>
      </c>
      <c r="F2442" s="2">
        <v>419</v>
      </c>
      <c r="G2442" s="3">
        <v>62.1</v>
      </c>
      <c r="H2442" s="4" t="str">
        <f>IF(AND(A2442="Yes",C2442="School"),COUNTIFS($A$6:A2442,"Yes",$C$6:C2442,"School"),"")</f>
        <v/>
      </c>
    </row>
    <row r="2443" spans="1:8">
      <c r="A2443" s="13"/>
      <c r="B2443" s="1" t="s">
        <v>4724</v>
      </c>
      <c r="C2443" s="1" t="s">
        <v>24</v>
      </c>
      <c r="D2443" s="1" t="s">
        <v>4841</v>
      </c>
      <c r="E2443" s="1" t="s">
        <v>4842</v>
      </c>
      <c r="F2443" s="2">
        <v>571</v>
      </c>
      <c r="G2443" s="3">
        <v>45.7</v>
      </c>
      <c r="H2443" s="4" t="str">
        <f>IF(AND(A2443="Yes",C2443="School"),COUNTIFS($A$6:A2443,"Yes",$C$6:C2443,"School"),"")</f>
        <v/>
      </c>
    </row>
    <row r="2444" spans="1:8">
      <c r="A2444" s="13"/>
      <c r="B2444" s="1" t="s">
        <v>4724</v>
      </c>
      <c r="C2444" s="1" t="s">
        <v>24</v>
      </c>
      <c r="D2444" s="1" t="s">
        <v>4843</v>
      </c>
      <c r="E2444" s="1" t="s">
        <v>4844</v>
      </c>
      <c r="F2444" s="2">
        <v>619</v>
      </c>
      <c r="G2444" s="3">
        <v>33.6</v>
      </c>
      <c r="H2444" s="4" t="str">
        <f>IF(AND(A2444="Yes",C2444="School"),COUNTIFS($A$6:A2444,"Yes",$C$6:C2444,"School"),"")</f>
        <v/>
      </c>
    </row>
    <row r="2445" spans="1:8">
      <c r="A2445" s="13"/>
      <c r="B2445" s="1" t="s">
        <v>4724</v>
      </c>
      <c r="C2445" s="1" t="s">
        <v>24</v>
      </c>
      <c r="D2445" s="1" t="s">
        <v>4845</v>
      </c>
      <c r="E2445" s="1" t="s">
        <v>4846</v>
      </c>
      <c r="F2445" s="2">
        <v>1800</v>
      </c>
      <c r="G2445" s="3">
        <v>25.6</v>
      </c>
      <c r="H2445" s="4" t="str">
        <f>IF(AND(A2445="Yes",C2445="School"),COUNTIFS($A$6:A2445,"Yes",$C$6:C2445,"School"),"")</f>
        <v/>
      </c>
    </row>
    <row r="2446" spans="1:8">
      <c r="A2446" s="13"/>
      <c r="B2446" s="1" t="s">
        <v>4724</v>
      </c>
      <c r="C2446" s="1" t="s">
        <v>24</v>
      </c>
      <c r="D2446" s="1" t="s">
        <v>4847</v>
      </c>
      <c r="E2446" s="1" t="s">
        <v>4848</v>
      </c>
      <c r="F2446" s="2">
        <v>1209</v>
      </c>
      <c r="G2446" s="3">
        <v>33.299999999999997</v>
      </c>
      <c r="H2446" s="4" t="str">
        <f>IF(AND(A2446="Yes",C2446="School"),COUNTIFS($A$6:A2446,"Yes",$C$6:C2446,"School"),"")</f>
        <v/>
      </c>
    </row>
    <row r="2447" spans="1:8">
      <c r="A2447" s="13"/>
      <c r="B2447" s="1" t="s">
        <v>4724</v>
      </c>
      <c r="C2447" s="1" t="s">
        <v>24</v>
      </c>
      <c r="D2447" s="1" t="s">
        <v>4849</v>
      </c>
      <c r="E2447" s="1" t="s">
        <v>4850</v>
      </c>
      <c r="F2447" s="2">
        <v>1695</v>
      </c>
      <c r="G2447" s="3">
        <v>56.1</v>
      </c>
      <c r="H2447" s="4" t="str">
        <f>IF(AND(A2447="Yes",C2447="School"),COUNTIFS($A$6:A2447,"Yes",$C$6:C2447,"School"),"")</f>
        <v/>
      </c>
    </row>
    <row r="2448" spans="1:8">
      <c r="A2448" s="13"/>
      <c r="B2448" s="1" t="s">
        <v>4724</v>
      </c>
      <c r="C2448" s="1" t="s">
        <v>24</v>
      </c>
      <c r="D2448" s="1" t="s">
        <v>4851</v>
      </c>
      <c r="E2448" s="1" t="s">
        <v>4852</v>
      </c>
      <c r="F2448" s="2">
        <v>501</v>
      </c>
      <c r="G2448" s="3">
        <v>58.9</v>
      </c>
      <c r="H2448" s="4" t="str">
        <f>IF(AND(A2448="Yes",C2448="School"),COUNTIFS($A$6:A2448,"Yes",$C$6:C2448,"School"),"")</f>
        <v/>
      </c>
    </row>
    <row r="2449" spans="1:8">
      <c r="A2449" s="13"/>
      <c r="B2449" s="1" t="s">
        <v>4724</v>
      </c>
      <c r="C2449" s="1" t="s">
        <v>24</v>
      </c>
      <c r="D2449" s="1" t="s">
        <v>4853</v>
      </c>
      <c r="E2449" s="1" t="s">
        <v>4854</v>
      </c>
      <c r="F2449" s="2">
        <v>556</v>
      </c>
      <c r="G2449" s="3">
        <v>17.8</v>
      </c>
      <c r="H2449" s="4" t="str">
        <f>IF(AND(A2449="Yes",C2449="School"),COUNTIFS($A$6:A2449,"Yes",$C$6:C2449,"School"),"")</f>
        <v/>
      </c>
    </row>
    <row r="2450" spans="1:8">
      <c r="A2450" s="13"/>
      <c r="B2450" s="1" t="s">
        <v>4724</v>
      </c>
      <c r="C2450" s="1" t="s">
        <v>24</v>
      </c>
      <c r="D2450" s="1" t="s">
        <v>4855</v>
      </c>
      <c r="E2450" s="1" t="s">
        <v>4856</v>
      </c>
      <c r="F2450" s="2">
        <v>2492</v>
      </c>
      <c r="G2450" s="3">
        <v>14.3</v>
      </c>
      <c r="H2450" s="4" t="str">
        <f>IF(AND(A2450="Yes",C2450="School"),COUNTIFS($A$6:A2450,"Yes",$C$6:C2450,"School"),"")</f>
        <v/>
      </c>
    </row>
    <row r="2451" spans="1:8">
      <c r="A2451" s="13"/>
      <c r="B2451" s="1" t="s">
        <v>4724</v>
      </c>
      <c r="C2451" s="1" t="s">
        <v>24</v>
      </c>
      <c r="D2451" s="1" t="s">
        <v>4857</v>
      </c>
      <c r="E2451" s="1" t="s">
        <v>4858</v>
      </c>
      <c r="F2451" s="2">
        <v>2329</v>
      </c>
      <c r="G2451" s="3">
        <v>6.3</v>
      </c>
      <c r="H2451" s="4" t="str">
        <f>IF(AND(A2451="Yes",C2451="School"),COUNTIFS($A$6:A2451,"Yes",$C$6:C2451,"School"),"")</f>
        <v/>
      </c>
    </row>
    <row r="2452" spans="1:8">
      <c r="A2452" s="13"/>
      <c r="B2452" s="1" t="s">
        <v>4724</v>
      </c>
      <c r="C2452" s="1" t="s">
        <v>24</v>
      </c>
      <c r="D2452" s="1" t="s">
        <v>4859</v>
      </c>
      <c r="E2452" s="1" t="s">
        <v>4860</v>
      </c>
      <c r="F2452" s="2">
        <v>823</v>
      </c>
      <c r="G2452" s="3">
        <v>53.2</v>
      </c>
      <c r="H2452" s="4" t="str">
        <f>IF(AND(A2452="Yes",C2452="School"),COUNTIFS($A$6:A2452,"Yes",$C$6:C2452,"School"),"")</f>
        <v/>
      </c>
    </row>
    <row r="2453" spans="1:8">
      <c r="A2453" s="13"/>
      <c r="B2453" s="1" t="s">
        <v>4724</v>
      </c>
      <c r="C2453" s="1" t="s">
        <v>24</v>
      </c>
      <c r="D2453" s="1" t="s">
        <v>4861</v>
      </c>
      <c r="E2453" s="1" t="s">
        <v>4862</v>
      </c>
      <c r="F2453" s="2">
        <v>809</v>
      </c>
      <c r="G2453" s="3">
        <v>28.7</v>
      </c>
      <c r="H2453" s="4" t="str">
        <f>IF(AND(A2453="Yes",C2453="School"),COUNTIFS($A$6:A2453,"Yes",$C$6:C2453,"School"),"")</f>
        <v/>
      </c>
    </row>
    <row r="2454" spans="1:8">
      <c r="A2454" s="13"/>
      <c r="B2454" s="1" t="s">
        <v>4724</v>
      </c>
      <c r="C2454" s="1" t="s">
        <v>24</v>
      </c>
      <c r="D2454" s="1" t="s">
        <v>4863</v>
      </c>
      <c r="E2454" s="1" t="s">
        <v>4864</v>
      </c>
      <c r="F2454" s="2">
        <v>1259</v>
      </c>
      <c r="G2454" s="3">
        <v>32.6</v>
      </c>
      <c r="H2454" s="4" t="str">
        <f>IF(AND(A2454="Yes",C2454="School"),COUNTIFS($A$6:A2454,"Yes",$C$6:C2454,"School"),"")</f>
        <v/>
      </c>
    </row>
    <row r="2455" spans="1:8">
      <c r="A2455" s="13"/>
      <c r="B2455" s="1" t="s">
        <v>4724</v>
      </c>
      <c r="C2455" s="1" t="s">
        <v>24</v>
      </c>
      <c r="D2455" s="1" t="s">
        <v>4865</v>
      </c>
      <c r="E2455" s="1" t="s">
        <v>4866</v>
      </c>
      <c r="F2455" s="2">
        <v>627</v>
      </c>
      <c r="G2455" s="3">
        <v>29.5</v>
      </c>
      <c r="H2455" s="4" t="str">
        <f>IF(AND(A2455="Yes",C2455="School"),COUNTIFS($A$6:A2455,"Yes",$C$6:C2455,"School"),"")</f>
        <v/>
      </c>
    </row>
    <row r="2456" spans="1:8">
      <c r="A2456" s="13"/>
      <c r="B2456" s="1" t="s">
        <v>4724</v>
      </c>
      <c r="C2456" s="1" t="s">
        <v>24</v>
      </c>
      <c r="D2456" s="1" t="s">
        <v>4867</v>
      </c>
      <c r="E2456" s="1" t="s">
        <v>4868</v>
      </c>
      <c r="F2456" s="2">
        <v>1652</v>
      </c>
      <c r="G2456" s="3">
        <v>28.9</v>
      </c>
      <c r="H2456" s="4" t="str">
        <f>IF(AND(A2456="Yes",C2456="School"),COUNTIFS($A$6:A2456,"Yes",$C$6:C2456,"School"),"")</f>
        <v/>
      </c>
    </row>
    <row r="2457" spans="1:8">
      <c r="A2457" s="13"/>
      <c r="B2457" s="1" t="s">
        <v>4724</v>
      </c>
      <c r="C2457" s="1" t="s">
        <v>24</v>
      </c>
      <c r="D2457" s="1" t="s">
        <v>503</v>
      </c>
      <c r="E2457" s="1" t="s">
        <v>4869</v>
      </c>
      <c r="F2457" s="2">
        <v>987</v>
      </c>
      <c r="G2457" s="3">
        <v>19.3</v>
      </c>
      <c r="H2457" s="4" t="str">
        <f>IF(AND(A2457="Yes",C2457="School"),COUNTIFS($A$6:A2457,"Yes",$C$6:C2457,"School"),"")</f>
        <v/>
      </c>
    </row>
    <row r="2458" spans="1:8">
      <c r="A2458" s="13"/>
      <c r="B2458" s="1" t="s">
        <v>4724</v>
      </c>
      <c r="C2458" s="1" t="s">
        <v>24</v>
      </c>
      <c r="D2458" s="1" t="s">
        <v>4870</v>
      </c>
      <c r="E2458" s="1" t="s">
        <v>4871</v>
      </c>
      <c r="F2458" s="2">
        <v>695</v>
      </c>
      <c r="G2458" s="3">
        <v>10.8</v>
      </c>
      <c r="H2458" s="4" t="str">
        <f>IF(AND(A2458="Yes",C2458="School"),COUNTIFS($A$6:A2458,"Yes",$C$6:C2458,"School"),"")</f>
        <v/>
      </c>
    </row>
    <row r="2459" spans="1:8">
      <c r="A2459" s="13"/>
      <c r="B2459" s="1" t="s">
        <v>4724</v>
      </c>
      <c r="C2459" s="1" t="s">
        <v>24</v>
      </c>
      <c r="D2459" s="1" t="s">
        <v>4872</v>
      </c>
      <c r="E2459" s="1" t="s">
        <v>4873</v>
      </c>
      <c r="F2459" s="2">
        <v>541</v>
      </c>
      <c r="G2459" s="3">
        <v>37.200000000000003</v>
      </c>
      <c r="H2459" s="4" t="str">
        <f>IF(AND(A2459="Yes",C2459="School"),COUNTIFS($A$6:A2459,"Yes",$C$6:C2459,"School"),"")</f>
        <v/>
      </c>
    </row>
    <row r="2460" spans="1:8">
      <c r="A2460" s="13"/>
      <c r="B2460" s="1" t="s">
        <v>4724</v>
      </c>
      <c r="C2460" s="1" t="s">
        <v>24</v>
      </c>
      <c r="D2460" s="1" t="s">
        <v>4874</v>
      </c>
      <c r="E2460" s="1" t="s">
        <v>4875</v>
      </c>
      <c r="F2460" s="2">
        <v>566</v>
      </c>
      <c r="G2460" s="3">
        <v>52.7</v>
      </c>
      <c r="H2460" s="4" t="str">
        <f>IF(AND(A2460="Yes",C2460="School"),COUNTIFS($A$6:A2460,"Yes",$C$6:C2460,"School"),"")</f>
        <v/>
      </c>
    </row>
    <row r="2461" spans="1:8">
      <c r="A2461" s="13"/>
      <c r="B2461" s="1" t="s">
        <v>4724</v>
      </c>
      <c r="C2461" s="1" t="s">
        <v>24</v>
      </c>
      <c r="D2461" s="1" t="s">
        <v>4876</v>
      </c>
      <c r="E2461" s="1" t="s">
        <v>4877</v>
      </c>
      <c r="F2461" s="2">
        <v>775</v>
      </c>
      <c r="G2461" s="3">
        <v>17.5</v>
      </c>
      <c r="H2461" s="4" t="str">
        <f>IF(AND(A2461="Yes",C2461="School"),COUNTIFS($A$6:A2461,"Yes",$C$6:C2461,"School"),"")</f>
        <v/>
      </c>
    </row>
    <row r="2462" spans="1:8">
      <c r="A2462" s="13"/>
      <c r="B2462" s="1" t="s">
        <v>4724</v>
      </c>
      <c r="C2462" s="1" t="s">
        <v>24</v>
      </c>
      <c r="D2462" s="1" t="s">
        <v>4878</v>
      </c>
      <c r="E2462" s="1" t="s">
        <v>4879</v>
      </c>
      <c r="F2462" s="2">
        <v>955</v>
      </c>
      <c r="G2462" s="3">
        <v>17.100000000000001</v>
      </c>
      <c r="H2462" s="4" t="str">
        <f>IF(AND(A2462="Yes",C2462="School"),COUNTIFS($A$6:A2462,"Yes",$C$6:C2462,"School"),"")</f>
        <v/>
      </c>
    </row>
    <row r="2463" spans="1:8">
      <c r="A2463" s="13"/>
      <c r="B2463" s="1" t="s">
        <v>4724</v>
      </c>
      <c r="C2463" s="1" t="s">
        <v>24</v>
      </c>
      <c r="D2463" s="1" t="s">
        <v>4880</v>
      </c>
      <c r="E2463" s="1" t="s">
        <v>4881</v>
      </c>
      <c r="F2463" s="2">
        <v>663</v>
      </c>
      <c r="G2463" s="3">
        <v>18.100000000000001</v>
      </c>
      <c r="H2463" s="4" t="str">
        <f>IF(AND(A2463="Yes",C2463="School"),COUNTIFS($A$6:A2463,"Yes",$C$6:C2463,"School"),"")</f>
        <v/>
      </c>
    </row>
    <row r="2464" spans="1:8">
      <c r="A2464" s="13"/>
      <c r="B2464" s="1" t="s">
        <v>4724</v>
      </c>
      <c r="C2464" s="1" t="s">
        <v>24</v>
      </c>
      <c r="D2464" s="1" t="s">
        <v>4882</v>
      </c>
      <c r="E2464" s="1" t="s">
        <v>4883</v>
      </c>
      <c r="F2464" s="2">
        <v>911</v>
      </c>
      <c r="G2464" s="3">
        <v>26.6</v>
      </c>
      <c r="H2464" s="4" t="str">
        <f>IF(AND(A2464="Yes",C2464="School"),COUNTIFS($A$6:A2464,"Yes",$C$6:C2464,"School"),"")</f>
        <v/>
      </c>
    </row>
    <row r="2465" spans="1:8">
      <c r="A2465" s="13"/>
      <c r="B2465" s="1" t="s">
        <v>4724</v>
      </c>
      <c r="C2465" s="1" t="s">
        <v>24</v>
      </c>
      <c r="D2465" s="1" t="s">
        <v>4884</v>
      </c>
      <c r="E2465" s="1" t="s">
        <v>4885</v>
      </c>
      <c r="F2465" s="2">
        <v>666</v>
      </c>
      <c r="G2465" s="3">
        <v>24</v>
      </c>
      <c r="H2465" s="4" t="str">
        <f>IF(AND(A2465="Yes",C2465="School"),COUNTIFS($A$6:A2465,"Yes",$C$6:C2465,"School"),"")</f>
        <v/>
      </c>
    </row>
    <row r="2466" spans="1:8">
      <c r="A2466" s="13"/>
      <c r="B2466" s="1" t="s">
        <v>4724</v>
      </c>
      <c r="C2466" s="1" t="s">
        <v>24</v>
      </c>
      <c r="D2466" s="1" t="s">
        <v>4886</v>
      </c>
      <c r="E2466" s="1" t="s">
        <v>4887</v>
      </c>
      <c r="F2466" s="2">
        <v>1709</v>
      </c>
      <c r="G2466" s="3">
        <v>14.4</v>
      </c>
      <c r="H2466" s="4" t="str">
        <f>IF(AND(A2466="Yes",C2466="School"),COUNTIFS($A$6:A2466,"Yes",$C$6:C2466,"School"),"")</f>
        <v/>
      </c>
    </row>
    <row r="2467" spans="1:8">
      <c r="A2467" s="13"/>
      <c r="B2467" s="1" t="s">
        <v>4724</v>
      </c>
      <c r="C2467" s="1" t="s">
        <v>24</v>
      </c>
      <c r="D2467" s="1" t="s">
        <v>4888</v>
      </c>
      <c r="E2467" s="1" t="s">
        <v>4889</v>
      </c>
      <c r="F2467" s="2">
        <v>709</v>
      </c>
      <c r="G2467" s="3">
        <v>14.2</v>
      </c>
      <c r="H2467" s="4" t="str">
        <f>IF(AND(A2467="Yes",C2467="School"),COUNTIFS($A$6:A2467,"Yes",$C$6:C2467,"School"),"")</f>
        <v/>
      </c>
    </row>
    <row r="2468" spans="1:8">
      <c r="A2468" s="13"/>
      <c r="B2468" s="1" t="s">
        <v>4724</v>
      </c>
      <c r="C2468" s="1" t="s">
        <v>24</v>
      </c>
      <c r="D2468" s="1" t="s">
        <v>2383</v>
      </c>
      <c r="E2468" s="1" t="s">
        <v>4890</v>
      </c>
      <c r="F2468" s="2">
        <v>656</v>
      </c>
      <c r="G2468" s="3">
        <v>32.299999999999997</v>
      </c>
      <c r="H2468" s="4" t="str">
        <f>IF(AND(A2468="Yes",C2468="School"),COUNTIFS($A$6:A2468,"Yes",$C$6:C2468,"School"),"")</f>
        <v/>
      </c>
    </row>
    <row r="2469" spans="1:8">
      <c r="A2469" s="13"/>
      <c r="B2469" s="1" t="s">
        <v>4724</v>
      </c>
      <c r="C2469" s="1" t="s">
        <v>24</v>
      </c>
      <c r="D2469" s="1" t="s">
        <v>4891</v>
      </c>
      <c r="E2469" s="1" t="s">
        <v>4892</v>
      </c>
      <c r="F2469" s="2">
        <v>528</v>
      </c>
      <c r="G2469" s="3">
        <v>28.6</v>
      </c>
      <c r="H2469" s="4" t="str">
        <f>IF(AND(A2469="Yes",C2469="School"),COUNTIFS($A$6:A2469,"Yes",$C$6:C2469,"School"),"")</f>
        <v/>
      </c>
    </row>
    <row r="2470" spans="1:8">
      <c r="A2470" s="13"/>
      <c r="B2470" s="1" t="s">
        <v>4724</v>
      </c>
      <c r="C2470" s="1" t="s">
        <v>24</v>
      </c>
      <c r="D2470" s="1" t="s">
        <v>4893</v>
      </c>
      <c r="E2470" s="1" t="s">
        <v>4894</v>
      </c>
      <c r="F2470" s="2">
        <v>651</v>
      </c>
      <c r="G2470" s="3">
        <v>15.8</v>
      </c>
      <c r="H2470" s="4" t="str">
        <f>IF(AND(A2470="Yes",C2470="School"),COUNTIFS($A$6:A2470,"Yes",$C$6:C2470,"School"),"")</f>
        <v/>
      </c>
    </row>
    <row r="2471" spans="1:8">
      <c r="A2471" s="13"/>
      <c r="B2471" s="1" t="s">
        <v>4724</v>
      </c>
      <c r="C2471" s="1" t="s">
        <v>24</v>
      </c>
      <c r="D2471" s="1" t="s">
        <v>4895</v>
      </c>
      <c r="E2471" s="1" t="s">
        <v>4896</v>
      </c>
      <c r="F2471" s="2">
        <v>552</v>
      </c>
      <c r="G2471" s="3">
        <v>36.200000000000003</v>
      </c>
      <c r="H2471" s="4" t="str">
        <f>IF(AND(A2471="Yes",C2471="School"),COUNTIFS($A$6:A2471,"Yes",$C$6:C2471,"School"),"")</f>
        <v/>
      </c>
    </row>
    <row r="2472" spans="1:8">
      <c r="A2472" s="13"/>
      <c r="B2472" s="1" t="s">
        <v>4724</v>
      </c>
      <c r="C2472" s="1" t="s">
        <v>24</v>
      </c>
      <c r="D2472" s="1" t="s">
        <v>4897</v>
      </c>
      <c r="E2472" s="1" t="s">
        <v>4898</v>
      </c>
      <c r="F2472" s="2">
        <v>466</v>
      </c>
      <c r="G2472" s="3">
        <v>46.8</v>
      </c>
      <c r="H2472" s="4" t="str">
        <f>IF(AND(A2472="Yes",C2472="School"),COUNTIFS($A$6:A2472,"Yes",$C$6:C2472,"School"),"")</f>
        <v/>
      </c>
    </row>
    <row r="2473" spans="1:8">
      <c r="A2473" s="13"/>
      <c r="B2473" s="1" t="s">
        <v>4724</v>
      </c>
      <c r="C2473" s="1" t="s">
        <v>24</v>
      </c>
      <c r="D2473" s="1" t="s">
        <v>4899</v>
      </c>
      <c r="E2473" s="1" t="s">
        <v>4900</v>
      </c>
      <c r="F2473" s="2">
        <v>547</v>
      </c>
      <c r="G2473" s="3">
        <v>58</v>
      </c>
      <c r="H2473" s="4" t="str">
        <f>IF(AND(A2473="Yes",C2473="School"),COUNTIFS($A$6:A2473,"Yes",$C$6:C2473,"School"),"")</f>
        <v/>
      </c>
    </row>
    <row r="2474" spans="1:8">
      <c r="A2474" s="13"/>
      <c r="B2474" s="1" t="s">
        <v>4724</v>
      </c>
      <c r="C2474" s="1" t="s">
        <v>24</v>
      </c>
      <c r="D2474" s="1" t="s">
        <v>4901</v>
      </c>
      <c r="E2474" s="1" t="s">
        <v>4902</v>
      </c>
      <c r="F2474" s="2">
        <v>1566</v>
      </c>
      <c r="G2474" s="3">
        <v>69.8</v>
      </c>
      <c r="H2474" s="4" t="str">
        <f>IF(AND(A2474="Yes",C2474="School"),COUNTIFS($A$6:A2474,"Yes",$C$6:C2474,"School"),"")</f>
        <v/>
      </c>
    </row>
    <row r="2475" spans="1:8">
      <c r="A2475" s="13"/>
      <c r="B2475" s="1" t="s">
        <v>4724</v>
      </c>
      <c r="C2475" s="1" t="s">
        <v>24</v>
      </c>
      <c r="D2475" s="1" t="s">
        <v>4903</v>
      </c>
      <c r="E2475" s="1" t="s">
        <v>4904</v>
      </c>
      <c r="F2475" s="2">
        <v>682</v>
      </c>
      <c r="G2475" s="3">
        <v>23</v>
      </c>
      <c r="H2475" s="4" t="str">
        <f>IF(AND(A2475="Yes",C2475="School"),COUNTIFS($A$6:A2475,"Yes",$C$6:C2475,"School"),"")</f>
        <v/>
      </c>
    </row>
    <row r="2476" spans="1:8">
      <c r="A2476" s="13"/>
      <c r="B2476" s="1" t="s">
        <v>4724</v>
      </c>
      <c r="C2476" s="1" t="s">
        <v>24</v>
      </c>
      <c r="D2476" s="1" t="s">
        <v>4905</v>
      </c>
      <c r="E2476" s="1" t="s">
        <v>4906</v>
      </c>
      <c r="F2476" s="2">
        <v>753</v>
      </c>
      <c r="G2476" s="3">
        <v>53</v>
      </c>
      <c r="H2476" s="4" t="str">
        <f>IF(AND(A2476="Yes",C2476="School"),COUNTIFS($A$6:A2476,"Yes",$C$6:C2476,"School"),"")</f>
        <v/>
      </c>
    </row>
    <row r="2477" spans="1:8">
      <c r="A2477" s="13"/>
      <c r="B2477" s="1" t="s">
        <v>4724</v>
      </c>
      <c r="C2477" s="1" t="s">
        <v>24</v>
      </c>
      <c r="D2477" s="1" t="s">
        <v>4907</v>
      </c>
      <c r="E2477" s="1" t="s">
        <v>4908</v>
      </c>
      <c r="F2477" s="2">
        <v>667</v>
      </c>
      <c r="G2477" s="3">
        <v>15.1</v>
      </c>
      <c r="H2477" s="4" t="str">
        <f>IF(AND(A2477="Yes",C2477="School"),COUNTIFS($A$6:A2477,"Yes",$C$6:C2477,"School"),"")</f>
        <v/>
      </c>
    </row>
    <row r="2478" spans="1:8">
      <c r="A2478" s="13"/>
      <c r="B2478" s="1" t="s">
        <v>4724</v>
      </c>
      <c r="C2478" s="1" t="s">
        <v>24</v>
      </c>
      <c r="D2478" s="1" t="s">
        <v>4909</v>
      </c>
      <c r="E2478" s="1" t="s">
        <v>4910</v>
      </c>
      <c r="F2478" s="2">
        <v>307</v>
      </c>
      <c r="G2478" s="3">
        <v>49.8</v>
      </c>
      <c r="H2478" s="4" t="str">
        <f>IF(AND(A2478="Yes",C2478="School"),COUNTIFS($A$6:A2478,"Yes",$C$6:C2478,"School"),"")</f>
        <v/>
      </c>
    </row>
    <row r="2479" spans="1:8">
      <c r="A2479" s="13"/>
      <c r="B2479" s="1" t="s">
        <v>4724</v>
      </c>
      <c r="C2479" s="1" t="s">
        <v>24</v>
      </c>
      <c r="D2479" s="1" t="s">
        <v>4911</v>
      </c>
      <c r="E2479" s="1" t="s">
        <v>4912</v>
      </c>
      <c r="F2479" s="2">
        <v>515</v>
      </c>
      <c r="G2479" s="3">
        <v>28.7</v>
      </c>
      <c r="H2479" s="4" t="str">
        <f>IF(AND(A2479="Yes",C2479="School"),COUNTIFS($A$6:A2479,"Yes",$C$6:C2479,"School"),"")</f>
        <v/>
      </c>
    </row>
    <row r="2480" spans="1:8">
      <c r="A2480" s="13"/>
      <c r="B2480" s="1" t="s">
        <v>4724</v>
      </c>
      <c r="C2480" s="1" t="s">
        <v>24</v>
      </c>
      <c r="D2480" s="1" t="s">
        <v>4913</v>
      </c>
      <c r="E2480" s="1" t="s">
        <v>4914</v>
      </c>
      <c r="F2480" s="2">
        <v>2320</v>
      </c>
      <c r="G2480" s="3">
        <v>27.5</v>
      </c>
      <c r="H2480" s="4" t="str">
        <f>IF(AND(A2480="Yes",C2480="School"),COUNTIFS($A$6:A2480,"Yes",$C$6:C2480,"School"),"")</f>
        <v/>
      </c>
    </row>
    <row r="2481" spans="1:8">
      <c r="A2481" s="13"/>
      <c r="B2481" s="1" t="s">
        <v>4724</v>
      </c>
      <c r="C2481" s="1" t="s">
        <v>24</v>
      </c>
      <c r="D2481" s="1" t="s">
        <v>4915</v>
      </c>
      <c r="E2481" s="1" t="s">
        <v>4916</v>
      </c>
      <c r="F2481" s="2">
        <v>800</v>
      </c>
      <c r="G2481" s="3">
        <v>32.4</v>
      </c>
      <c r="H2481" s="4" t="str">
        <f>IF(AND(A2481="Yes",C2481="School"),COUNTIFS($A$6:A2481,"Yes",$C$6:C2481,"School"),"")</f>
        <v/>
      </c>
    </row>
    <row r="2482" spans="1:8">
      <c r="A2482" s="13"/>
      <c r="B2482" s="1" t="s">
        <v>4724</v>
      </c>
      <c r="C2482" s="1" t="s">
        <v>24</v>
      </c>
      <c r="D2482" s="1" t="s">
        <v>4917</v>
      </c>
      <c r="E2482" s="1" t="s">
        <v>4918</v>
      </c>
      <c r="F2482" s="2">
        <v>998</v>
      </c>
      <c r="G2482" s="3">
        <v>37.5</v>
      </c>
      <c r="H2482" s="4" t="str">
        <f>IF(AND(A2482="Yes",C2482="School"),COUNTIFS($A$6:A2482,"Yes",$C$6:C2482,"School"),"")</f>
        <v/>
      </c>
    </row>
    <row r="2483" spans="1:8">
      <c r="A2483" s="13"/>
      <c r="B2483" s="1" t="s">
        <v>4724</v>
      </c>
      <c r="C2483" s="1" t="s">
        <v>24</v>
      </c>
      <c r="D2483" s="1" t="s">
        <v>4919</v>
      </c>
      <c r="E2483" s="1" t="s">
        <v>4920</v>
      </c>
      <c r="F2483" s="2">
        <v>569</v>
      </c>
      <c r="G2483" s="3">
        <v>33.200000000000003</v>
      </c>
      <c r="H2483" s="4" t="str">
        <f>IF(AND(A2483="Yes",C2483="School"),COUNTIFS($A$6:A2483,"Yes",$C$6:C2483,"School"),"")</f>
        <v/>
      </c>
    </row>
    <row r="2484" spans="1:8">
      <c r="A2484" s="13"/>
      <c r="B2484" s="1" t="s">
        <v>4724</v>
      </c>
      <c r="C2484" s="1" t="s">
        <v>24</v>
      </c>
      <c r="D2484" s="1" t="s">
        <v>4921</v>
      </c>
      <c r="E2484" s="1" t="s">
        <v>4922</v>
      </c>
      <c r="F2484" s="2">
        <v>492</v>
      </c>
      <c r="G2484" s="3">
        <v>60.2</v>
      </c>
      <c r="H2484" s="4" t="str">
        <f>IF(AND(A2484="Yes",C2484="School"),COUNTIFS($A$6:A2484,"Yes",$C$6:C2484,"School"),"")</f>
        <v/>
      </c>
    </row>
    <row r="2485" spans="1:8">
      <c r="A2485" s="13"/>
      <c r="B2485" s="1" t="s">
        <v>4724</v>
      </c>
      <c r="C2485" s="1" t="s">
        <v>24</v>
      </c>
      <c r="D2485" s="1" t="s">
        <v>4923</v>
      </c>
      <c r="E2485" s="1" t="s">
        <v>4924</v>
      </c>
      <c r="F2485" s="2">
        <v>24</v>
      </c>
      <c r="G2485" s="3">
        <v>75</v>
      </c>
      <c r="H2485" s="4" t="str">
        <f>IF(AND(A2485="Yes",C2485="School"),COUNTIFS($A$6:A2485,"Yes",$C$6:C2485,"School"),"")</f>
        <v/>
      </c>
    </row>
    <row r="2486" spans="1:8">
      <c r="A2486" s="13"/>
      <c r="B2486" s="1" t="s">
        <v>4724</v>
      </c>
      <c r="C2486" s="1" t="s">
        <v>24</v>
      </c>
      <c r="D2486" s="1" t="s">
        <v>4925</v>
      </c>
      <c r="E2486" s="1" t="s">
        <v>4926</v>
      </c>
      <c r="F2486" s="2">
        <v>1130</v>
      </c>
      <c r="G2486" s="3">
        <v>30.6</v>
      </c>
      <c r="H2486" s="4" t="str">
        <f>IF(AND(A2486="Yes",C2486="School"),COUNTIFS($A$6:A2486,"Yes",$C$6:C2486,"School"),"")</f>
        <v/>
      </c>
    </row>
    <row r="2487" spans="1:8">
      <c r="A2487" s="13"/>
      <c r="B2487" s="1" t="s">
        <v>4724</v>
      </c>
      <c r="C2487" s="1" t="s">
        <v>24</v>
      </c>
      <c r="D2487" s="1" t="s">
        <v>4927</v>
      </c>
      <c r="E2487" s="1" t="s">
        <v>4928</v>
      </c>
      <c r="F2487" s="2">
        <v>484</v>
      </c>
      <c r="G2487" s="3">
        <v>53.3</v>
      </c>
      <c r="H2487" s="4" t="str">
        <f>IF(AND(A2487="Yes",C2487="School"),COUNTIFS($A$6:A2487,"Yes",$C$6:C2487,"School"),"")</f>
        <v/>
      </c>
    </row>
    <row r="2488" spans="1:8">
      <c r="A2488" s="13"/>
      <c r="B2488" s="1" t="s">
        <v>4724</v>
      </c>
      <c r="C2488" s="1" t="s">
        <v>24</v>
      </c>
      <c r="D2488" s="1" t="s">
        <v>4929</v>
      </c>
      <c r="E2488" s="1" t="s">
        <v>4930</v>
      </c>
      <c r="F2488" s="2">
        <v>950</v>
      </c>
      <c r="G2488" s="3">
        <v>27.3</v>
      </c>
      <c r="H2488" s="4" t="str">
        <f>IF(AND(A2488="Yes",C2488="School"),COUNTIFS($A$6:A2488,"Yes",$C$6:C2488,"School"),"")</f>
        <v/>
      </c>
    </row>
    <row r="2489" spans="1:8">
      <c r="A2489" s="13"/>
      <c r="B2489" s="1" t="s">
        <v>4724</v>
      </c>
      <c r="C2489" s="1" t="s">
        <v>24</v>
      </c>
      <c r="D2489" s="1" t="s">
        <v>4931</v>
      </c>
      <c r="E2489" s="1" t="s">
        <v>4932</v>
      </c>
      <c r="F2489" s="2">
        <v>675</v>
      </c>
      <c r="G2489" s="3">
        <v>33.799999999999997</v>
      </c>
      <c r="H2489" s="4" t="str">
        <f>IF(AND(A2489="Yes",C2489="School"),COUNTIFS($A$6:A2489,"Yes",$C$6:C2489,"School"),"")</f>
        <v/>
      </c>
    </row>
    <row r="2490" spans="1:8">
      <c r="A2490" s="13"/>
      <c r="B2490" s="1" t="s">
        <v>4724</v>
      </c>
      <c r="C2490" s="1" t="s">
        <v>24</v>
      </c>
      <c r="D2490" s="1" t="s">
        <v>4933</v>
      </c>
      <c r="E2490" s="1" t="s">
        <v>4934</v>
      </c>
      <c r="F2490" s="2">
        <v>1497</v>
      </c>
      <c r="G2490" s="3">
        <v>28.8</v>
      </c>
      <c r="H2490" s="4" t="str">
        <f>IF(AND(A2490="Yes",C2490="School"),COUNTIFS($A$6:A2490,"Yes",$C$6:C2490,"School"),"")</f>
        <v/>
      </c>
    </row>
    <row r="2491" spans="1:8">
      <c r="A2491" s="13"/>
      <c r="B2491" s="1" t="s">
        <v>4724</v>
      </c>
      <c r="C2491" s="1" t="s">
        <v>24</v>
      </c>
      <c r="D2491" s="1" t="s">
        <v>4935</v>
      </c>
      <c r="E2491" s="1" t="s">
        <v>4936</v>
      </c>
      <c r="F2491" s="2">
        <v>551</v>
      </c>
      <c r="G2491" s="3">
        <v>59.9</v>
      </c>
      <c r="H2491" s="4" t="str">
        <f>IF(AND(A2491="Yes",C2491="School"),COUNTIFS($A$6:A2491,"Yes",$C$6:C2491,"School"),"")</f>
        <v/>
      </c>
    </row>
    <row r="2492" spans="1:8">
      <c r="A2492" s="13"/>
      <c r="B2492" s="1" t="s">
        <v>4724</v>
      </c>
      <c r="C2492" s="1" t="s">
        <v>24</v>
      </c>
      <c r="D2492" s="1" t="s">
        <v>4937</v>
      </c>
      <c r="E2492" s="1" t="s">
        <v>4938</v>
      </c>
      <c r="F2492" s="2">
        <v>2396</v>
      </c>
      <c r="G2492" s="3">
        <v>34.9</v>
      </c>
      <c r="H2492" s="4" t="str">
        <f>IF(AND(A2492="Yes",C2492="School"),COUNTIFS($A$6:A2492,"Yes",$C$6:C2492,"School"),"")</f>
        <v/>
      </c>
    </row>
    <row r="2493" spans="1:8">
      <c r="A2493" s="13"/>
      <c r="B2493" s="1" t="s">
        <v>4724</v>
      </c>
      <c r="C2493" s="1" t="s">
        <v>24</v>
      </c>
      <c r="D2493" s="1" t="s">
        <v>4939</v>
      </c>
      <c r="E2493" s="1" t="s">
        <v>4940</v>
      </c>
      <c r="F2493" s="2">
        <v>556</v>
      </c>
      <c r="G2493" s="3">
        <v>16.899999999999999</v>
      </c>
      <c r="H2493" s="4" t="str">
        <f>IF(AND(A2493="Yes",C2493="School"),COUNTIFS($A$6:A2493,"Yes",$C$6:C2493,"School"),"")</f>
        <v/>
      </c>
    </row>
    <row r="2494" spans="1:8">
      <c r="A2494" s="13"/>
      <c r="B2494" s="1" t="s">
        <v>4724</v>
      </c>
      <c r="C2494" s="1" t="s">
        <v>24</v>
      </c>
      <c r="D2494" s="1" t="s">
        <v>4941</v>
      </c>
      <c r="E2494" s="1" t="s">
        <v>4942</v>
      </c>
      <c r="F2494" s="2">
        <v>1620</v>
      </c>
      <c r="G2494" s="3">
        <v>8</v>
      </c>
      <c r="H2494" s="4" t="str">
        <f>IF(AND(A2494="Yes",C2494="School"),COUNTIFS($A$6:A2494,"Yes",$C$6:C2494,"School"),"")</f>
        <v/>
      </c>
    </row>
    <row r="2495" spans="1:8">
      <c r="A2495" s="13"/>
      <c r="B2495" s="1" t="s">
        <v>4724</v>
      </c>
      <c r="C2495" s="1" t="s">
        <v>24</v>
      </c>
      <c r="D2495" s="1" t="s">
        <v>4943</v>
      </c>
      <c r="E2495" s="1" t="s">
        <v>4944</v>
      </c>
      <c r="F2495" s="2">
        <v>592</v>
      </c>
      <c r="G2495" s="3">
        <v>28.2</v>
      </c>
      <c r="H2495" s="4" t="str">
        <f>IF(AND(A2495="Yes",C2495="School"),COUNTIFS($A$6:A2495,"Yes",$C$6:C2495,"School"),"")</f>
        <v/>
      </c>
    </row>
    <row r="2496" spans="1:8">
      <c r="A2496" s="13"/>
      <c r="B2496" s="1" t="s">
        <v>4724</v>
      </c>
      <c r="C2496" s="1" t="s">
        <v>24</v>
      </c>
      <c r="D2496" s="1" t="s">
        <v>4945</v>
      </c>
      <c r="E2496" s="1" t="s">
        <v>4946</v>
      </c>
      <c r="F2496" s="2">
        <v>594</v>
      </c>
      <c r="G2496" s="3">
        <v>16</v>
      </c>
      <c r="H2496" s="4" t="str">
        <f>IF(AND(A2496="Yes",C2496="School"),COUNTIFS($A$6:A2496,"Yes",$C$6:C2496,"School"),"")</f>
        <v/>
      </c>
    </row>
    <row r="2497" spans="1:8">
      <c r="A2497" s="13"/>
      <c r="B2497" s="1" t="s">
        <v>4724</v>
      </c>
      <c r="C2497" s="1" t="s">
        <v>24</v>
      </c>
      <c r="D2497" s="1" t="s">
        <v>4947</v>
      </c>
      <c r="E2497" s="1" t="s">
        <v>4948</v>
      </c>
      <c r="F2497" s="2">
        <v>84</v>
      </c>
      <c r="G2497" s="3">
        <v>57.1</v>
      </c>
      <c r="H2497" s="4" t="str">
        <f>IF(AND(A2497="Yes",C2497="School"),COUNTIFS($A$6:A2497,"Yes",$C$6:C2497,"School"),"")</f>
        <v/>
      </c>
    </row>
    <row r="2498" spans="1:8">
      <c r="A2498" s="13"/>
      <c r="B2498" s="1" t="s">
        <v>4724</v>
      </c>
      <c r="C2498" s="1" t="s">
        <v>24</v>
      </c>
      <c r="D2498" s="1" t="s">
        <v>4949</v>
      </c>
      <c r="E2498" s="1" t="s">
        <v>4950</v>
      </c>
      <c r="F2498" s="2">
        <v>2101</v>
      </c>
      <c r="G2498" s="3">
        <v>28.2</v>
      </c>
      <c r="H2498" s="4" t="str">
        <f>IF(AND(A2498="Yes",C2498="School"),COUNTIFS($A$6:A2498,"Yes",$C$6:C2498,"School"),"")</f>
        <v/>
      </c>
    </row>
    <row r="2499" spans="1:8">
      <c r="A2499" s="13"/>
      <c r="B2499" s="1" t="s">
        <v>4724</v>
      </c>
      <c r="C2499" s="1" t="s">
        <v>24</v>
      </c>
      <c r="D2499" s="1" t="s">
        <v>4951</v>
      </c>
      <c r="E2499" s="1" t="s">
        <v>4952</v>
      </c>
      <c r="F2499" s="2">
        <v>906</v>
      </c>
      <c r="G2499" s="3">
        <v>54.3</v>
      </c>
      <c r="H2499" s="4" t="str">
        <f>IF(AND(A2499="Yes",C2499="School"),COUNTIFS($A$6:A2499,"Yes",$C$6:C2499,"School"),"")</f>
        <v/>
      </c>
    </row>
    <row r="2500" spans="1:8">
      <c r="A2500" s="13"/>
      <c r="B2500" s="1" t="s">
        <v>4724</v>
      </c>
      <c r="C2500" s="1" t="s">
        <v>24</v>
      </c>
      <c r="D2500" s="1" t="s">
        <v>4953</v>
      </c>
      <c r="E2500" s="1" t="s">
        <v>4954</v>
      </c>
      <c r="F2500" s="2">
        <v>556</v>
      </c>
      <c r="G2500" s="3">
        <v>43.9</v>
      </c>
      <c r="H2500" s="4" t="str">
        <f>IF(AND(A2500="Yes",C2500="School"),COUNTIFS($A$6:A2500,"Yes",$C$6:C2500,"School"),"")</f>
        <v/>
      </c>
    </row>
    <row r="2501" spans="1:8">
      <c r="A2501" s="13"/>
      <c r="B2501" s="1" t="s">
        <v>4724</v>
      </c>
      <c r="C2501" s="1" t="s">
        <v>24</v>
      </c>
      <c r="D2501" s="1" t="s">
        <v>4955</v>
      </c>
      <c r="E2501" s="1" t="s">
        <v>4956</v>
      </c>
      <c r="F2501" s="2">
        <v>765</v>
      </c>
      <c r="G2501" s="3">
        <v>48.8</v>
      </c>
      <c r="H2501" s="4" t="str">
        <f>IF(AND(A2501="Yes",C2501="School"),COUNTIFS($A$6:A2501,"Yes",$C$6:C2501,"School"),"")</f>
        <v/>
      </c>
    </row>
    <row r="2502" spans="1:8">
      <c r="A2502" s="13"/>
      <c r="B2502" s="1" t="s">
        <v>4724</v>
      </c>
      <c r="C2502" s="1" t="s">
        <v>24</v>
      </c>
      <c r="D2502" s="1" t="s">
        <v>4957</v>
      </c>
      <c r="E2502" s="1" t="s">
        <v>4958</v>
      </c>
      <c r="F2502" s="2">
        <v>720</v>
      </c>
      <c r="G2502" s="3">
        <v>31.5</v>
      </c>
      <c r="H2502" s="4" t="str">
        <f>IF(AND(A2502="Yes",C2502="School"),COUNTIFS($A$6:A2502,"Yes",$C$6:C2502,"School"),"")</f>
        <v/>
      </c>
    </row>
    <row r="2503" spans="1:8">
      <c r="A2503" s="13"/>
      <c r="B2503" s="1" t="s">
        <v>4724</v>
      </c>
      <c r="C2503" s="1" t="s">
        <v>24</v>
      </c>
      <c r="D2503" s="1" t="s">
        <v>4959</v>
      </c>
      <c r="E2503" s="1" t="s">
        <v>4960</v>
      </c>
      <c r="F2503" s="2">
        <v>313</v>
      </c>
      <c r="G2503" s="3">
        <v>39.6</v>
      </c>
      <c r="H2503" s="4" t="str">
        <f>IF(AND(A2503="Yes",C2503="School"),COUNTIFS($A$6:A2503,"Yes",$C$6:C2503,"School"),"")</f>
        <v/>
      </c>
    </row>
    <row r="2504" spans="1:8">
      <c r="A2504" s="13"/>
      <c r="B2504" s="1" t="s">
        <v>4724</v>
      </c>
      <c r="C2504" s="1" t="s">
        <v>24</v>
      </c>
      <c r="D2504" s="1" t="s">
        <v>3635</v>
      </c>
      <c r="E2504" s="1" t="s">
        <v>4961</v>
      </c>
      <c r="F2504" s="2">
        <v>536</v>
      </c>
      <c r="G2504" s="3">
        <v>37.5</v>
      </c>
      <c r="H2504" s="4" t="str">
        <f>IF(AND(A2504="Yes",C2504="School"),COUNTIFS($A$6:A2504,"Yes",$C$6:C2504,"School"),"")</f>
        <v/>
      </c>
    </row>
    <row r="2505" spans="1:8">
      <c r="A2505" s="13"/>
      <c r="B2505" s="1" t="s">
        <v>4724</v>
      </c>
      <c r="C2505" s="1" t="s">
        <v>24</v>
      </c>
      <c r="D2505" s="1" t="s">
        <v>1937</v>
      </c>
      <c r="E2505" s="1" t="s">
        <v>4962</v>
      </c>
      <c r="F2505" s="2">
        <v>574</v>
      </c>
      <c r="G2505" s="3">
        <v>34.299999999999997</v>
      </c>
      <c r="H2505" s="4" t="str">
        <f>IF(AND(A2505="Yes",C2505="School"),COUNTIFS($A$6:A2505,"Yes",$C$6:C2505,"School"),"")</f>
        <v/>
      </c>
    </row>
    <row r="2506" spans="1:8">
      <c r="A2506" s="13"/>
      <c r="B2506" s="1" t="s">
        <v>4724</v>
      </c>
      <c r="C2506" s="1" t="s">
        <v>24</v>
      </c>
      <c r="D2506" s="1" t="s">
        <v>4963</v>
      </c>
      <c r="E2506" s="1" t="s">
        <v>4964</v>
      </c>
      <c r="F2506" s="2">
        <v>825</v>
      </c>
      <c r="G2506" s="3">
        <v>11.5</v>
      </c>
      <c r="H2506" s="4" t="str">
        <f>IF(AND(A2506="Yes",C2506="School"),COUNTIFS($A$6:A2506,"Yes",$C$6:C2506,"School"),"")</f>
        <v/>
      </c>
    </row>
    <row r="2507" spans="1:8">
      <c r="A2507" s="13"/>
      <c r="B2507" s="1" t="s">
        <v>4724</v>
      </c>
      <c r="C2507" s="1" t="s">
        <v>24</v>
      </c>
      <c r="D2507" s="1" t="s">
        <v>4965</v>
      </c>
      <c r="E2507" s="1" t="s">
        <v>4966</v>
      </c>
      <c r="F2507" s="2">
        <v>1081</v>
      </c>
      <c r="G2507" s="3">
        <v>28.2</v>
      </c>
      <c r="H2507" s="4" t="str">
        <f>IF(AND(A2507="Yes",C2507="School"),COUNTIFS($A$6:A2507,"Yes",$C$6:C2507,"School"),"")</f>
        <v/>
      </c>
    </row>
    <row r="2508" spans="1:8">
      <c r="A2508" s="13"/>
      <c r="B2508" s="1" t="s">
        <v>4724</v>
      </c>
      <c r="C2508" s="1" t="s">
        <v>24</v>
      </c>
      <c r="D2508" s="1" t="s">
        <v>4967</v>
      </c>
      <c r="E2508" s="1" t="s">
        <v>4968</v>
      </c>
      <c r="F2508" s="2">
        <v>247</v>
      </c>
      <c r="G2508" s="3">
        <v>34</v>
      </c>
      <c r="H2508" s="4" t="str">
        <f>IF(AND(A2508="Yes",C2508="School"),COUNTIFS($A$6:A2508,"Yes",$C$6:C2508,"School"),"")</f>
        <v/>
      </c>
    </row>
    <row r="2509" spans="1:8">
      <c r="A2509" s="13"/>
      <c r="B2509" s="1" t="s">
        <v>4724</v>
      </c>
      <c r="C2509" s="1" t="s">
        <v>24</v>
      </c>
      <c r="D2509" s="1" t="s">
        <v>4969</v>
      </c>
      <c r="E2509" s="1" t="s">
        <v>4970</v>
      </c>
      <c r="F2509" s="2">
        <v>993</v>
      </c>
      <c r="G2509" s="3">
        <v>12.9</v>
      </c>
      <c r="H2509" s="4" t="str">
        <f>IF(AND(A2509="Yes",C2509="School"),COUNTIFS($A$6:A2509,"Yes",$C$6:C2509,"School"),"")</f>
        <v/>
      </c>
    </row>
    <row r="2510" spans="1:8">
      <c r="A2510" s="13"/>
      <c r="B2510" s="1" t="s">
        <v>4724</v>
      </c>
      <c r="C2510" s="1" t="s">
        <v>24</v>
      </c>
      <c r="D2510" s="1" t="s">
        <v>4971</v>
      </c>
      <c r="E2510" s="1" t="s">
        <v>4972</v>
      </c>
      <c r="F2510" s="2">
        <v>2570</v>
      </c>
      <c r="G2510" s="3">
        <v>17.7</v>
      </c>
      <c r="H2510" s="4" t="str">
        <f>IF(AND(A2510="Yes",C2510="School"),COUNTIFS($A$6:A2510,"Yes",$C$6:C2510,"School"),"")</f>
        <v/>
      </c>
    </row>
    <row r="2511" spans="1:8">
      <c r="A2511" s="13"/>
      <c r="B2511" s="1" t="s">
        <v>4724</v>
      </c>
      <c r="C2511" s="1" t="s">
        <v>24</v>
      </c>
      <c r="D2511" s="1" t="s">
        <v>4973</v>
      </c>
      <c r="E2511" s="1" t="s">
        <v>4974</v>
      </c>
      <c r="F2511" s="2">
        <v>695</v>
      </c>
      <c r="G2511" s="3">
        <v>24</v>
      </c>
      <c r="H2511" s="4" t="str">
        <f>IF(AND(A2511="Yes",C2511="School"),COUNTIFS($A$6:A2511,"Yes",$C$6:C2511,"School"),"")</f>
        <v/>
      </c>
    </row>
    <row r="2512" spans="1:8">
      <c r="A2512" s="13"/>
      <c r="B2512" s="1" t="s">
        <v>4724</v>
      </c>
      <c r="C2512" s="1" t="s">
        <v>24</v>
      </c>
      <c r="D2512" s="1" t="s">
        <v>4975</v>
      </c>
      <c r="E2512" s="1" t="s">
        <v>4976</v>
      </c>
      <c r="F2512" s="2">
        <v>272</v>
      </c>
      <c r="G2512" s="3">
        <v>43</v>
      </c>
      <c r="H2512" s="4" t="str">
        <f>IF(AND(A2512="Yes",C2512="School"),COUNTIFS($A$6:A2512,"Yes",$C$6:C2512,"School"),"")</f>
        <v/>
      </c>
    </row>
    <row r="2513" spans="1:8">
      <c r="A2513" s="13"/>
      <c r="B2513" s="1" t="s">
        <v>4724</v>
      </c>
      <c r="C2513" s="1" t="s">
        <v>24</v>
      </c>
      <c r="D2513" s="1" t="s">
        <v>4977</v>
      </c>
      <c r="E2513" s="1" t="s">
        <v>4978</v>
      </c>
      <c r="F2513" s="2">
        <v>485</v>
      </c>
      <c r="G2513" s="3">
        <v>39.200000000000003</v>
      </c>
      <c r="H2513" s="4" t="str">
        <f>IF(AND(A2513="Yes",C2513="School"),COUNTIFS($A$6:A2513,"Yes",$C$6:C2513,"School"),"")</f>
        <v/>
      </c>
    </row>
    <row r="2514" spans="1:8">
      <c r="A2514" s="13"/>
      <c r="B2514" s="1" t="s">
        <v>4724</v>
      </c>
      <c r="C2514" s="1" t="s">
        <v>24</v>
      </c>
      <c r="D2514" s="1" t="s">
        <v>4979</v>
      </c>
      <c r="E2514" s="1" t="s">
        <v>4980</v>
      </c>
      <c r="F2514" s="2">
        <v>113</v>
      </c>
      <c r="G2514" s="3">
        <v>59.3</v>
      </c>
      <c r="H2514" s="4" t="str">
        <f>IF(AND(A2514="Yes",C2514="School"),COUNTIFS($A$6:A2514,"Yes",$C$6:C2514,"School"),"")</f>
        <v/>
      </c>
    </row>
    <row r="2515" spans="1:8">
      <c r="A2515" s="13"/>
      <c r="B2515" s="1" t="s">
        <v>4724</v>
      </c>
      <c r="C2515" s="1" t="s">
        <v>24</v>
      </c>
      <c r="D2515" s="1" t="s">
        <v>4981</v>
      </c>
      <c r="E2515" s="1" t="s">
        <v>4982</v>
      </c>
      <c r="F2515" s="2">
        <v>747</v>
      </c>
      <c r="G2515" s="3">
        <v>34.799999999999997</v>
      </c>
      <c r="H2515" s="4" t="str">
        <f>IF(AND(A2515="Yes",C2515="School"),COUNTIFS($A$6:A2515,"Yes",$C$6:C2515,"School"),"")</f>
        <v/>
      </c>
    </row>
    <row r="2516" spans="1:8">
      <c r="A2516" s="13"/>
      <c r="B2516" s="1" t="s">
        <v>4724</v>
      </c>
      <c r="C2516" s="1" t="s">
        <v>24</v>
      </c>
      <c r="D2516" s="1" t="s">
        <v>89</v>
      </c>
      <c r="E2516" s="1" t="s">
        <v>4983</v>
      </c>
      <c r="F2516" s="2">
        <v>428</v>
      </c>
      <c r="G2516" s="3">
        <v>33.200000000000003</v>
      </c>
      <c r="H2516" s="4" t="str">
        <f>IF(AND(A2516="Yes",C2516="School"),COUNTIFS($A$6:A2516,"Yes",$C$6:C2516,"School"),"")</f>
        <v/>
      </c>
    </row>
    <row r="2517" spans="1:8">
      <c r="A2517" s="13"/>
      <c r="B2517" s="1" t="s">
        <v>4724</v>
      </c>
      <c r="C2517" s="1" t="s">
        <v>24</v>
      </c>
      <c r="D2517" s="1" t="s">
        <v>4984</v>
      </c>
      <c r="E2517" s="1" t="s">
        <v>4985</v>
      </c>
      <c r="F2517" s="2">
        <v>476</v>
      </c>
      <c r="G2517" s="3">
        <v>10.1</v>
      </c>
      <c r="H2517" s="4" t="str">
        <f>IF(AND(A2517="Yes",C2517="School"),COUNTIFS($A$6:A2517,"Yes",$C$6:C2517,"School"),"")</f>
        <v/>
      </c>
    </row>
    <row r="2518" spans="1:8">
      <c r="A2518" s="13"/>
      <c r="B2518" s="1" t="s">
        <v>4724</v>
      </c>
      <c r="C2518" s="1" t="s">
        <v>24</v>
      </c>
      <c r="D2518" s="1" t="s">
        <v>4986</v>
      </c>
      <c r="E2518" s="1" t="s">
        <v>4987</v>
      </c>
      <c r="F2518" s="2">
        <v>567</v>
      </c>
      <c r="G2518" s="3">
        <v>22</v>
      </c>
      <c r="H2518" s="4" t="str">
        <f>IF(AND(A2518="Yes",C2518="School"),COUNTIFS($A$6:A2518,"Yes",$C$6:C2518,"School"),"")</f>
        <v/>
      </c>
    </row>
    <row r="2519" spans="1:8">
      <c r="A2519" s="13"/>
      <c r="B2519" s="1" t="s">
        <v>4724</v>
      </c>
      <c r="C2519" s="1" t="s">
        <v>24</v>
      </c>
      <c r="D2519" s="1" t="s">
        <v>4988</v>
      </c>
      <c r="E2519" s="1" t="s">
        <v>4989</v>
      </c>
      <c r="F2519" s="2">
        <v>341</v>
      </c>
      <c r="G2519" s="3">
        <v>48.7</v>
      </c>
      <c r="H2519" s="4" t="str">
        <f>IF(AND(A2519="Yes",C2519="School"),COUNTIFS($A$6:A2519,"Yes",$C$6:C2519,"School"),"")</f>
        <v/>
      </c>
    </row>
    <row r="2520" spans="1:8">
      <c r="A2520" s="13"/>
      <c r="B2520" s="1" t="s">
        <v>4724</v>
      </c>
      <c r="C2520" s="1" t="s">
        <v>24</v>
      </c>
      <c r="D2520" s="1" t="s">
        <v>4990</v>
      </c>
      <c r="E2520" s="1" t="s">
        <v>4991</v>
      </c>
      <c r="F2520" s="2">
        <v>378</v>
      </c>
      <c r="G2520" s="3">
        <v>55</v>
      </c>
      <c r="H2520" s="4" t="str">
        <f>IF(AND(A2520="Yes",C2520="School"),COUNTIFS($A$6:A2520,"Yes",$C$6:C2520,"School"),"")</f>
        <v/>
      </c>
    </row>
    <row r="2521" spans="1:8">
      <c r="A2521" s="13"/>
      <c r="B2521" s="1" t="s">
        <v>4724</v>
      </c>
      <c r="C2521" s="1" t="s">
        <v>24</v>
      </c>
      <c r="D2521" s="1" t="s">
        <v>4992</v>
      </c>
      <c r="E2521" s="1" t="s">
        <v>4993</v>
      </c>
      <c r="F2521" s="2">
        <v>412</v>
      </c>
      <c r="G2521" s="3">
        <v>49.8</v>
      </c>
      <c r="H2521" s="4" t="str">
        <f>IF(AND(A2521="Yes",C2521="School"),COUNTIFS($A$6:A2521,"Yes",$C$6:C2521,"School"),"")</f>
        <v/>
      </c>
    </row>
    <row r="2522" spans="1:8">
      <c r="A2522" s="13"/>
      <c r="B2522" s="1" t="s">
        <v>4724</v>
      </c>
      <c r="C2522" s="1" t="s">
        <v>24</v>
      </c>
      <c r="D2522" s="1" t="s">
        <v>1146</v>
      </c>
      <c r="E2522" s="1" t="s">
        <v>4994</v>
      </c>
      <c r="F2522" s="2">
        <v>621</v>
      </c>
      <c r="G2522" s="3">
        <v>69.400000000000006</v>
      </c>
      <c r="H2522" s="4" t="str">
        <f>IF(AND(A2522="Yes",C2522="School"),COUNTIFS($A$6:A2522,"Yes",$C$6:C2522,"School"),"")</f>
        <v/>
      </c>
    </row>
    <row r="2523" spans="1:8">
      <c r="A2523" s="13"/>
      <c r="B2523" s="1" t="s">
        <v>4724</v>
      </c>
      <c r="C2523" s="1" t="s">
        <v>24</v>
      </c>
      <c r="D2523" s="1" t="s">
        <v>4995</v>
      </c>
      <c r="E2523" s="1" t="s">
        <v>4996</v>
      </c>
      <c r="F2523" s="2">
        <v>832</v>
      </c>
      <c r="G2523" s="3">
        <v>40.1</v>
      </c>
      <c r="H2523" s="4" t="str">
        <f>IF(AND(A2523="Yes",C2523="School"),COUNTIFS($A$6:A2523,"Yes",$C$6:C2523,"School"),"")</f>
        <v/>
      </c>
    </row>
    <row r="2524" spans="1:8">
      <c r="A2524" s="13"/>
      <c r="B2524" s="1" t="s">
        <v>4724</v>
      </c>
      <c r="C2524" s="1" t="s">
        <v>24</v>
      </c>
      <c r="D2524" s="1" t="s">
        <v>4997</v>
      </c>
      <c r="E2524" s="1" t="s">
        <v>4998</v>
      </c>
      <c r="F2524" s="2">
        <v>427</v>
      </c>
      <c r="G2524" s="3">
        <v>9.6</v>
      </c>
      <c r="H2524" s="4" t="str">
        <f>IF(AND(A2524="Yes",C2524="School"),COUNTIFS($A$6:A2524,"Yes",$C$6:C2524,"School"),"")</f>
        <v/>
      </c>
    </row>
    <row r="2525" spans="1:8">
      <c r="A2525" s="13"/>
      <c r="B2525" s="1" t="s">
        <v>4724</v>
      </c>
      <c r="C2525" s="1" t="s">
        <v>24</v>
      </c>
      <c r="D2525" s="1" t="s">
        <v>4999</v>
      </c>
      <c r="E2525" s="1" t="s">
        <v>5000</v>
      </c>
      <c r="F2525" s="2">
        <v>639</v>
      </c>
      <c r="G2525" s="3">
        <v>39.1</v>
      </c>
      <c r="H2525" s="4" t="str">
        <f>IF(AND(A2525="Yes",C2525="School"),COUNTIFS($A$6:A2525,"Yes",$C$6:C2525,"School"),"")</f>
        <v/>
      </c>
    </row>
    <row r="2526" spans="1:8">
      <c r="A2526" s="13"/>
      <c r="B2526" s="1" t="s">
        <v>4724</v>
      </c>
      <c r="C2526" s="1" t="s">
        <v>24</v>
      </c>
      <c r="D2526" s="1" t="s">
        <v>5001</v>
      </c>
      <c r="E2526" s="1" t="s">
        <v>5002</v>
      </c>
      <c r="F2526" s="2">
        <v>769</v>
      </c>
      <c r="G2526" s="3">
        <v>58.5</v>
      </c>
      <c r="H2526" s="4" t="str">
        <f>IF(AND(A2526="Yes",C2526="School"),COUNTIFS($A$6:A2526,"Yes",$C$6:C2526,"School"),"")</f>
        <v/>
      </c>
    </row>
    <row r="2527" spans="1:8">
      <c r="A2527" s="13"/>
      <c r="B2527" s="1" t="s">
        <v>4724</v>
      </c>
      <c r="C2527" s="1" t="s">
        <v>24</v>
      </c>
      <c r="D2527" s="1" t="s">
        <v>798</v>
      </c>
      <c r="E2527" s="1" t="s">
        <v>5003</v>
      </c>
      <c r="F2527" s="2">
        <v>976</v>
      </c>
      <c r="G2527" s="3">
        <v>55.7</v>
      </c>
      <c r="H2527" s="4" t="str">
        <f>IF(AND(A2527="Yes",C2527="School"),COUNTIFS($A$6:A2527,"Yes",$C$6:C2527,"School"),"")</f>
        <v/>
      </c>
    </row>
    <row r="2528" spans="1:8">
      <c r="A2528" s="13"/>
      <c r="B2528" s="1" t="s">
        <v>4724</v>
      </c>
      <c r="C2528" s="1" t="s">
        <v>24</v>
      </c>
      <c r="D2528" s="1" t="s">
        <v>5004</v>
      </c>
      <c r="E2528" s="1" t="s">
        <v>5005</v>
      </c>
      <c r="F2528" s="2">
        <v>63</v>
      </c>
      <c r="G2528" s="3">
        <v>79.400000000000006</v>
      </c>
      <c r="H2528" s="4" t="str">
        <f>IF(AND(A2528="Yes",C2528="School"),COUNTIFS($A$6:A2528,"Yes",$C$6:C2528,"School"),"")</f>
        <v/>
      </c>
    </row>
    <row r="2529" spans="1:8">
      <c r="A2529" s="13"/>
      <c r="B2529" s="1" t="s">
        <v>4724</v>
      </c>
      <c r="C2529" s="1" t="s">
        <v>24</v>
      </c>
      <c r="D2529" s="1" t="s">
        <v>5006</v>
      </c>
      <c r="E2529" s="1" t="s">
        <v>5007</v>
      </c>
      <c r="F2529" s="2">
        <v>704</v>
      </c>
      <c r="G2529" s="3">
        <v>70.7</v>
      </c>
      <c r="H2529" s="4" t="str">
        <f>IF(AND(A2529="Yes",C2529="School"),COUNTIFS($A$6:A2529,"Yes",$C$6:C2529,"School"),"")</f>
        <v/>
      </c>
    </row>
    <row r="2530" spans="1:8">
      <c r="A2530" s="13"/>
      <c r="B2530" s="1" t="s">
        <v>4724</v>
      </c>
      <c r="C2530" s="1" t="s">
        <v>24</v>
      </c>
      <c r="D2530" s="1" t="s">
        <v>5008</v>
      </c>
      <c r="E2530" s="1" t="s">
        <v>5009</v>
      </c>
      <c r="F2530" s="2">
        <v>601</v>
      </c>
      <c r="G2530" s="3">
        <v>40.4</v>
      </c>
      <c r="H2530" s="4" t="str">
        <f>IF(AND(A2530="Yes",C2530="School"),COUNTIFS($A$6:A2530,"Yes",$C$6:C2530,"School"),"")</f>
        <v/>
      </c>
    </row>
    <row r="2531" spans="1:8">
      <c r="A2531" s="13"/>
      <c r="B2531" s="1" t="s">
        <v>4724</v>
      </c>
      <c r="C2531" s="1" t="s">
        <v>24</v>
      </c>
      <c r="D2531" s="1" t="s">
        <v>5010</v>
      </c>
      <c r="E2531" s="1" t="s">
        <v>5011</v>
      </c>
      <c r="F2531" s="2">
        <v>2120</v>
      </c>
      <c r="G2531" s="3">
        <v>54.2</v>
      </c>
      <c r="H2531" s="4" t="str">
        <f>IF(AND(A2531="Yes",C2531="School"),COUNTIFS($A$6:A2531,"Yes",$C$6:C2531,"School"),"")</f>
        <v/>
      </c>
    </row>
    <row r="2532" spans="1:8">
      <c r="A2532" s="13"/>
      <c r="B2532" s="1" t="s">
        <v>4724</v>
      </c>
      <c r="C2532" s="1" t="s">
        <v>24</v>
      </c>
      <c r="D2532" s="1" t="s">
        <v>5012</v>
      </c>
      <c r="E2532" s="1" t="s">
        <v>5013</v>
      </c>
      <c r="F2532" s="2">
        <v>981</v>
      </c>
      <c r="G2532" s="3">
        <v>43.6</v>
      </c>
      <c r="H2532" s="4" t="str">
        <f>IF(AND(A2532="Yes",C2532="School"),COUNTIFS($A$6:A2532,"Yes",$C$6:C2532,"School"),"")</f>
        <v/>
      </c>
    </row>
    <row r="2533" spans="1:8">
      <c r="A2533" s="13"/>
      <c r="B2533" s="1" t="s">
        <v>4724</v>
      </c>
      <c r="C2533" s="1" t="s">
        <v>24</v>
      </c>
      <c r="D2533" s="1" t="s">
        <v>5014</v>
      </c>
      <c r="E2533" s="1" t="s">
        <v>5015</v>
      </c>
      <c r="F2533" s="2">
        <v>468</v>
      </c>
      <c r="G2533" s="3">
        <v>35</v>
      </c>
      <c r="H2533" s="4" t="str">
        <f>IF(AND(A2533="Yes",C2533="School"),COUNTIFS($A$6:A2533,"Yes",$C$6:C2533,"School"),"")</f>
        <v/>
      </c>
    </row>
    <row r="2534" spans="1:8">
      <c r="A2534" s="13"/>
      <c r="B2534" s="1" t="s">
        <v>4724</v>
      </c>
      <c r="C2534" s="1" t="s">
        <v>24</v>
      </c>
      <c r="D2534" s="1" t="s">
        <v>523</v>
      </c>
      <c r="E2534" s="1" t="s">
        <v>5016</v>
      </c>
      <c r="F2534" s="2">
        <v>728</v>
      </c>
      <c r="G2534" s="3">
        <v>25.8</v>
      </c>
      <c r="H2534" s="4" t="str">
        <f>IF(AND(A2534="Yes",C2534="School"),COUNTIFS($A$6:A2534,"Yes",$C$6:C2534,"School"),"")</f>
        <v/>
      </c>
    </row>
    <row r="2535" spans="1:8">
      <c r="A2535" s="13"/>
      <c r="B2535" s="1" t="s">
        <v>4724</v>
      </c>
      <c r="C2535" s="1" t="s">
        <v>24</v>
      </c>
      <c r="D2535" s="1" t="s">
        <v>5017</v>
      </c>
      <c r="E2535" s="1" t="s">
        <v>5018</v>
      </c>
      <c r="F2535" s="2">
        <v>1095</v>
      </c>
      <c r="G2535" s="3">
        <v>19.3</v>
      </c>
      <c r="H2535" s="4" t="str">
        <f>IF(AND(A2535="Yes",C2535="School"),COUNTIFS($A$6:A2535,"Yes",$C$6:C2535,"School"),"")</f>
        <v/>
      </c>
    </row>
    <row r="2536" spans="1:8">
      <c r="A2536" s="13"/>
      <c r="B2536" s="1" t="s">
        <v>4724</v>
      </c>
      <c r="C2536" s="1" t="s">
        <v>24</v>
      </c>
      <c r="D2536" s="1" t="s">
        <v>5019</v>
      </c>
      <c r="E2536" s="1" t="s">
        <v>5020</v>
      </c>
      <c r="F2536" s="2">
        <v>1460</v>
      </c>
      <c r="G2536" s="3">
        <v>41.2</v>
      </c>
      <c r="H2536" s="4" t="str">
        <f>IF(AND(A2536="Yes",C2536="School"),COUNTIFS($A$6:A2536,"Yes",$C$6:C2536,"School"),"")</f>
        <v/>
      </c>
    </row>
    <row r="2537" spans="1:8">
      <c r="A2537" s="13"/>
      <c r="B2537" s="1" t="s">
        <v>4724</v>
      </c>
      <c r="C2537" s="1" t="s">
        <v>24</v>
      </c>
      <c r="D2537" s="1" t="s">
        <v>5021</v>
      </c>
      <c r="E2537" s="1" t="s">
        <v>5022</v>
      </c>
      <c r="F2537" s="2">
        <v>601</v>
      </c>
      <c r="G2537" s="3">
        <v>36.1</v>
      </c>
      <c r="H2537" s="4" t="str">
        <f>IF(AND(A2537="Yes",C2537="School"),COUNTIFS($A$6:A2537,"Yes",$C$6:C2537,"School"),"")</f>
        <v/>
      </c>
    </row>
    <row r="2538" spans="1:8">
      <c r="A2538" s="13"/>
      <c r="B2538" s="1" t="s">
        <v>4724</v>
      </c>
      <c r="C2538" s="1" t="s">
        <v>24</v>
      </c>
      <c r="D2538" s="1" t="s">
        <v>5023</v>
      </c>
      <c r="E2538" s="1" t="s">
        <v>5024</v>
      </c>
      <c r="F2538" s="2">
        <v>644</v>
      </c>
      <c r="G2538" s="3">
        <v>59</v>
      </c>
      <c r="H2538" s="4" t="str">
        <f>IF(AND(A2538="Yes",C2538="School"),COUNTIFS($A$6:A2538,"Yes",$C$6:C2538,"School"),"")</f>
        <v/>
      </c>
    </row>
    <row r="2539" spans="1:8">
      <c r="A2539" s="13"/>
      <c r="B2539" s="1" t="s">
        <v>4724</v>
      </c>
      <c r="C2539" s="1" t="s">
        <v>24</v>
      </c>
      <c r="D2539" s="1" t="s">
        <v>5025</v>
      </c>
      <c r="E2539" s="1" t="s">
        <v>5026</v>
      </c>
      <c r="F2539" s="2">
        <v>716</v>
      </c>
      <c r="G2539" s="3">
        <v>8.4</v>
      </c>
      <c r="H2539" s="4" t="str">
        <f>IF(AND(A2539="Yes",C2539="School"),COUNTIFS($A$6:A2539,"Yes",$C$6:C2539,"School"),"")</f>
        <v/>
      </c>
    </row>
    <row r="2540" spans="1:8">
      <c r="A2540" s="13"/>
      <c r="B2540" s="1" t="s">
        <v>4724</v>
      </c>
      <c r="C2540" s="1" t="s">
        <v>24</v>
      </c>
      <c r="D2540" s="1" t="s">
        <v>5027</v>
      </c>
      <c r="E2540" s="1" t="s">
        <v>5028</v>
      </c>
      <c r="F2540" s="2">
        <v>614</v>
      </c>
      <c r="G2540" s="3">
        <v>54.7</v>
      </c>
      <c r="H2540" s="4" t="str">
        <f>IF(AND(A2540="Yes",C2540="School"),COUNTIFS($A$6:A2540,"Yes",$C$6:C2540,"School"),"")</f>
        <v/>
      </c>
    </row>
    <row r="2541" spans="1:8">
      <c r="A2541" s="13"/>
      <c r="B2541" s="1" t="s">
        <v>4724</v>
      </c>
      <c r="C2541" s="1" t="s">
        <v>24</v>
      </c>
      <c r="D2541" s="1" t="s">
        <v>5029</v>
      </c>
      <c r="E2541" s="1" t="s">
        <v>5030</v>
      </c>
      <c r="F2541" s="2">
        <v>1690</v>
      </c>
      <c r="G2541" s="3">
        <v>63.6</v>
      </c>
      <c r="H2541" s="4" t="str">
        <f>IF(AND(A2541="Yes",C2541="School"),COUNTIFS($A$6:A2541,"Yes",$C$6:C2541,"School"),"")</f>
        <v/>
      </c>
    </row>
    <row r="2542" spans="1:8">
      <c r="A2542" s="13"/>
      <c r="B2542" s="1" t="s">
        <v>4724</v>
      </c>
      <c r="C2542" s="1" t="s">
        <v>24</v>
      </c>
      <c r="D2542" s="1" t="s">
        <v>5031</v>
      </c>
      <c r="E2542" s="1" t="s">
        <v>5032</v>
      </c>
      <c r="F2542" s="2">
        <v>711</v>
      </c>
      <c r="G2542" s="3">
        <v>24.6</v>
      </c>
      <c r="H2542" s="4" t="str">
        <f>IF(AND(A2542="Yes",C2542="School"),COUNTIFS($A$6:A2542,"Yes",$C$6:C2542,"School"),"")</f>
        <v/>
      </c>
    </row>
    <row r="2543" spans="1:8">
      <c r="A2543" s="13"/>
      <c r="B2543" s="1" t="s">
        <v>4724</v>
      </c>
      <c r="C2543" s="1" t="s">
        <v>24</v>
      </c>
      <c r="D2543" s="1" t="s">
        <v>5033</v>
      </c>
      <c r="E2543" s="1" t="s">
        <v>5034</v>
      </c>
      <c r="F2543" s="2">
        <v>348</v>
      </c>
      <c r="G2543" s="3">
        <v>75.3</v>
      </c>
      <c r="H2543" s="4" t="str">
        <f>IF(AND(A2543="Yes",C2543="School"),COUNTIFS($A$6:A2543,"Yes",$C$6:C2543,"School"),"")</f>
        <v/>
      </c>
    </row>
    <row r="2544" spans="1:8">
      <c r="A2544" s="13"/>
      <c r="B2544" s="1" t="s">
        <v>4724</v>
      </c>
      <c r="C2544" s="1" t="s">
        <v>24</v>
      </c>
      <c r="D2544" s="1" t="s">
        <v>5035</v>
      </c>
      <c r="E2544" s="1" t="s">
        <v>5036</v>
      </c>
      <c r="F2544" s="2">
        <v>1305</v>
      </c>
      <c r="G2544" s="3">
        <v>55.7</v>
      </c>
      <c r="H2544" s="4" t="str">
        <f>IF(AND(A2544="Yes",C2544="School"),COUNTIFS($A$6:A2544,"Yes",$C$6:C2544,"School"),"")</f>
        <v/>
      </c>
    </row>
    <row r="2545" spans="1:8">
      <c r="A2545" s="13"/>
      <c r="B2545" s="1" t="s">
        <v>4724</v>
      </c>
      <c r="C2545" s="1" t="s">
        <v>24</v>
      </c>
      <c r="D2545" s="1" t="s">
        <v>5037</v>
      </c>
      <c r="E2545" s="1" t="s">
        <v>5038</v>
      </c>
      <c r="F2545" s="2">
        <v>590</v>
      </c>
      <c r="G2545" s="3">
        <v>32.200000000000003</v>
      </c>
      <c r="H2545" s="4" t="str">
        <f>IF(AND(A2545="Yes",C2545="School"),COUNTIFS($A$6:A2545,"Yes",$C$6:C2545,"School"),"")</f>
        <v/>
      </c>
    </row>
    <row r="2546" spans="1:8">
      <c r="A2546" s="13"/>
      <c r="B2546" s="1" t="s">
        <v>4724</v>
      </c>
      <c r="C2546" s="1" t="s">
        <v>24</v>
      </c>
      <c r="D2546" s="1" t="s">
        <v>2965</v>
      </c>
      <c r="E2546" s="1" t="s">
        <v>5039</v>
      </c>
      <c r="F2546" s="2">
        <v>267</v>
      </c>
      <c r="G2546" s="3">
        <v>43.1</v>
      </c>
      <c r="H2546" s="4" t="str">
        <f>IF(AND(A2546="Yes",C2546="School"),COUNTIFS($A$6:A2546,"Yes",$C$6:C2546,"School"),"")</f>
        <v/>
      </c>
    </row>
    <row r="2547" spans="1:8">
      <c r="A2547" s="13"/>
      <c r="B2547" s="1" t="s">
        <v>4724</v>
      </c>
      <c r="C2547" s="1" t="s">
        <v>24</v>
      </c>
      <c r="D2547" s="1" t="s">
        <v>5040</v>
      </c>
      <c r="E2547" s="1" t="s">
        <v>5041</v>
      </c>
      <c r="F2547" s="2">
        <v>761</v>
      </c>
      <c r="G2547" s="3">
        <v>25.1</v>
      </c>
      <c r="H2547" s="4" t="str">
        <f>IF(AND(A2547="Yes",C2547="School"),COUNTIFS($A$6:A2547,"Yes",$C$6:C2547,"School"),"")</f>
        <v/>
      </c>
    </row>
    <row r="2548" spans="1:8">
      <c r="A2548" s="13"/>
      <c r="B2548" s="1" t="s">
        <v>4724</v>
      </c>
      <c r="C2548" s="1" t="s">
        <v>24</v>
      </c>
      <c r="D2548" s="1" t="s">
        <v>5042</v>
      </c>
      <c r="E2548" s="1" t="s">
        <v>5043</v>
      </c>
      <c r="F2548" s="2">
        <v>352</v>
      </c>
      <c r="G2548" s="3">
        <v>56.3</v>
      </c>
      <c r="H2548" s="4" t="str">
        <f>IF(AND(A2548="Yes",C2548="School"),COUNTIFS($A$6:A2548,"Yes",$C$6:C2548,"School"),"")</f>
        <v/>
      </c>
    </row>
    <row r="2549" spans="1:8">
      <c r="A2549" s="13"/>
      <c r="B2549" s="1" t="s">
        <v>4724</v>
      </c>
      <c r="C2549" s="1" t="s">
        <v>24</v>
      </c>
      <c r="D2549" s="1" t="s">
        <v>5044</v>
      </c>
      <c r="E2549" s="1" t="s">
        <v>5045</v>
      </c>
      <c r="F2549" s="2">
        <v>577</v>
      </c>
      <c r="G2549" s="3">
        <v>23.1</v>
      </c>
      <c r="H2549" s="4" t="str">
        <f>IF(AND(A2549="Yes",C2549="School"),COUNTIFS($A$6:A2549,"Yes",$C$6:C2549,"School"),"")</f>
        <v/>
      </c>
    </row>
    <row r="2550" spans="1:8">
      <c r="A2550" s="13"/>
      <c r="B2550" s="1" t="s">
        <v>4724</v>
      </c>
      <c r="C2550" s="1" t="s">
        <v>24</v>
      </c>
      <c r="D2550" s="1" t="s">
        <v>5046</v>
      </c>
      <c r="E2550" s="1" t="s">
        <v>5047</v>
      </c>
      <c r="F2550" s="2">
        <v>407</v>
      </c>
      <c r="G2550" s="3">
        <v>30.7</v>
      </c>
      <c r="H2550" s="4" t="str">
        <f>IF(AND(A2550="Yes",C2550="School"),COUNTIFS($A$6:A2550,"Yes",$C$6:C2550,"School"),"")</f>
        <v/>
      </c>
    </row>
    <row r="2551" spans="1:8">
      <c r="A2551" s="13"/>
      <c r="B2551" s="1" t="s">
        <v>4724</v>
      </c>
      <c r="C2551" s="1" t="s">
        <v>24</v>
      </c>
      <c r="D2551" s="1" t="s">
        <v>5048</v>
      </c>
      <c r="E2551" s="1" t="s">
        <v>5049</v>
      </c>
      <c r="F2551" s="2">
        <v>467</v>
      </c>
      <c r="G2551" s="3">
        <v>40.700000000000003</v>
      </c>
      <c r="H2551" s="4" t="str">
        <f>IF(AND(A2551="Yes",C2551="School"),COUNTIFS($A$6:A2551,"Yes",$C$6:C2551,"School"),"")</f>
        <v/>
      </c>
    </row>
    <row r="2552" spans="1:8">
      <c r="A2552" s="13"/>
      <c r="B2552" s="1" t="s">
        <v>4724</v>
      </c>
      <c r="C2552" s="1" t="s">
        <v>24</v>
      </c>
      <c r="D2552" s="1" t="s">
        <v>5050</v>
      </c>
      <c r="E2552" s="1" t="s">
        <v>5051</v>
      </c>
      <c r="F2552" s="2">
        <v>590</v>
      </c>
      <c r="G2552" s="3">
        <v>62.4</v>
      </c>
      <c r="H2552" s="4" t="str">
        <f>IF(AND(A2552="Yes",C2552="School"),COUNTIFS($A$6:A2552,"Yes",$C$6:C2552,"School"),"")</f>
        <v/>
      </c>
    </row>
    <row r="2553" spans="1:8">
      <c r="A2553" s="13"/>
      <c r="B2553" s="1" t="s">
        <v>4724</v>
      </c>
      <c r="C2553" s="1" t="s">
        <v>24</v>
      </c>
      <c r="D2553" s="1" t="s">
        <v>5052</v>
      </c>
      <c r="E2553" s="1" t="s">
        <v>5053</v>
      </c>
      <c r="F2553" s="2">
        <v>330</v>
      </c>
      <c r="G2553" s="3">
        <v>48.2</v>
      </c>
      <c r="H2553" s="4" t="str">
        <f>IF(AND(A2553="Yes",C2553="School"),COUNTIFS($A$6:A2553,"Yes",$C$6:C2553,"School"),"")</f>
        <v/>
      </c>
    </row>
    <row r="2554" spans="1:8">
      <c r="A2554" s="13"/>
      <c r="B2554" s="1" t="s">
        <v>4724</v>
      </c>
      <c r="C2554" s="1" t="s">
        <v>24</v>
      </c>
      <c r="D2554" s="1" t="s">
        <v>5054</v>
      </c>
      <c r="E2554" s="1" t="s">
        <v>5055</v>
      </c>
      <c r="F2554" s="2">
        <v>322</v>
      </c>
      <c r="G2554" s="3">
        <v>44.7</v>
      </c>
      <c r="H2554" s="4" t="str">
        <f>IF(AND(A2554="Yes",C2554="School"),COUNTIFS($A$6:A2554,"Yes",$C$6:C2554,"School"),"")</f>
        <v/>
      </c>
    </row>
    <row r="2555" spans="1:8">
      <c r="A2555" s="13"/>
      <c r="B2555" s="1" t="s">
        <v>4724</v>
      </c>
      <c r="C2555" s="1" t="s">
        <v>24</v>
      </c>
      <c r="D2555" s="1" t="s">
        <v>5056</v>
      </c>
      <c r="E2555" s="1" t="s">
        <v>5057</v>
      </c>
      <c r="F2555" s="2">
        <v>291</v>
      </c>
      <c r="G2555" s="3">
        <v>18.899999999999999</v>
      </c>
      <c r="H2555" s="4" t="str">
        <f>IF(AND(A2555="Yes",C2555="School"),COUNTIFS($A$6:A2555,"Yes",$C$6:C2555,"School"),"")</f>
        <v/>
      </c>
    </row>
    <row r="2556" spans="1:8">
      <c r="A2556" s="13"/>
      <c r="B2556" s="1" t="s">
        <v>4724</v>
      </c>
      <c r="C2556" s="1" t="s">
        <v>24</v>
      </c>
      <c r="D2556" s="1" t="s">
        <v>5058</v>
      </c>
      <c r="E2556" s="1" t="s">
        <v>5059</v>
      </c>
      <c r="F2556" s="2">
        <v>493</v>
      </c>
      <c r="G2556" s="3">
        <v>46.5</v>
      </c>
      <c r="H2556" s="4" t="str">
        <f>IF(AND(A2556="Yes",C2556="School"),COUNTIFS($A$6:A2556,"Yes",$C$6:C2556,"School"),"")</f>
        <v/>
      </c>
    </row>
    <row r="2557" spans="1:8">
      <c r="A2557" s="13"/>
      <c r="B2557" s="1" t="s">
        <v>4724</v>
      </c>
      <c r="C2557" s="1" t="s">
        <v>24</v>
      </c>
      <c r="D2557" s="1" t="s">
        <v>5060</v>
      </c>
      <c r="E2557" s="1" t="s">
        <v>5061</v>
      </c>
      <c r="F2557" s="2">
        <v>1993</v>
      </c>
      <c r="G2557" s="3">
        <v>30.9</v>
      </c>
      <c r="H2557" s="4" t="str">
        <f>IF(AND(A2557="Yes",C2557="School"),COUNTIFS($A$6:A2557,"Yes",$C$6:C2557,"School"),"")</f>
        <v/>
      </c>
    </row>
    <row r="2558" spans="1:8">
      <c r="A2558" s="13"/>
      <c r="B2558" s="1" t="s">
        <v>4724</v>
      </c>
      <c r="C2558" s="1" t="s">
        <v>24</v>
      </c>
      <c r="D2558" s="1" t="s">
        <v>5062</v>
      </c>
      <c r="E2558" s="1" t="s">
        <v>5063</v>
      </c>
      <c r="F2558" s="2">
        <v>932</v>
      </c>
      <c r="G2558" s="3">
        <v>57.5</v>
      </c>
      <c r="H2558" s="4" t="str">
        <f>IF(AND(A2558="Yes",C2558="School"),COUNTIFS($A$6:A2558,"Yes",$C$6:C2558,"School"),"")</f>
        <v/>
      </c>
    </row>
    <row r="2559" spans="1:8">
      <c r="A2559" s="13"/>
      <c r="B2559" s="1" t="s">
        <v>4724</v>
      </c>
      <c r="C2559" s="1" t="s">
        <v>24</v>
      </c>
      <c r="D2559" s="1" t="s">
        <v>5064</v>
      </c>
      <c r="E2559" s="1" t="s">
        <v>5065</v>
      </c>
      <c r="F2559" s="2">
        <v>275</v>
      </c>
      <c r="G2559" s="3">
        <v>39.6</v>
      </c>
      <c r="H2559" s="4" t="str">
        <f>IF(AND(A2559="Yes",C2559="School"),COUNTIFS($A$6:A2559,"Yes",$C$6:C2559,"School"),"")</f>
        <v/>
      </c>
    </row>
    <row r="2560" spans="1:8">
      <c r="A2560" s="13"/>
      <c r="B2560" s="1" t="s">
        <v>4724</v>
      </c>
      <c r="C2560" s="1" t="s">
        <v>24</v>
      </c>
      <c r="D2560" s="1" t="s">
        <v>5066</v>
      </c>
      <c r="E2560" s="1" t="s">
        <v>5067</v>
      </c>
      <c r="F2560" s="2">
        <v>267</v>
      </c>
      <c r="G2560" s="3">
        <v>39</v>
      </c>
      <c r="H2560" s="4" t="str">
        <f>IF(AND(A2560="Yes",C2560="School"),COUNTIFS($A$6:A2560,"Yes",$C$6:C2560,"School"),"")</f>
        <v/>
      </c>
    </row>
    <row r="2561" spans="1:8">
      <c r="A2561" s="13"/>
      <c r="B2561" s="1" t="s">
        <v>4724</v>
      </c>
      <c r="C2561" s="1" t="s">
        <v>24</v>
      </c>
      <c r="D2561" s="1" t="s">
        <v>5068</v>
      </c>
      <c r="E2561" s="1" t="s">
        <v>5069</v>
      </c>
      <c r="F2561" s="2">
        <v>316</v>
      </c>
      <c r="G2561" s="3">
        <v>34.5</v>
      </c>
      <c r="H2561" s="4" t="str">
        <f>IF(AND(A2561="Yes",C2561="School"),COUNTIFS($A$6:A2561,"Yes",$C$6:C2561,"School"),"")</f>
        <v/>
      </c>
    </row>
    <row r="2562" spans="1:8">
      <c r="A2562" s="13"/>
      <c r="B2562" s="1" t="s">
        <v>4724</v>
      </c>
      <c r="C2562" s="1" t="s">
        <v>24</v>
      </c>
      <c r="D2562" s="1" t="s">
        <v>5070</v>
      </c>
      <c r="E2562" s="1" t="s">
        <v>5071</v>
      </c>
      <c r="F2562" s="2">
        <v>532</v>
      </c>
      <c r="G2562" s="3">
        <v>61.7</v>
      </c>
      <c r="H2562" s="4" t="str">
        <f>IF(AND(A2562="Yes",C2562="School"),COUNTIFS($A$6:A2562,"Yes",$C$6:C2562,"School"),"")</f>
        <v/>
      </c>
    </row>
    <row r="2563" spans="1:8">
      <c r="A2563" s="13"/>
      <c r="B2563" s="1" t="s">
        <v>4724</v>
      </c>
      <c r="C2563" s="1" t="s">
        <v>24</v>
      </c>
      <c r="D2563" s="1" t="s">
        <v>5072</v>
      </c>
      <c r="E2563" s="1" t="s">
        <v>5073</v>
      </c>
      <c r="F2563" s="2">
        <v>1907</v>
      </c>
      <c r="G2563" s="3">
        <v>36.799999999999997</v>
      </c>
      <c r="H2563" s="4" t="str">
        <f>IF(AND(A2563="Yes",C2563="School"),COUNTIFS($A$6:A2563,"Yes",$C$6:C2563,"School"),"")</f>
        <v/>
      </c>
    </row>
    <row r="2564" spans="1:8">
      <c r="A2564" s="13"/>
      <c r="B2564" s="1" t="s">
        <v>4724</v>
      </c>
      <c r="C2564" s="1" t="s">
        <v>24</v>
      </c>
      <c r="D2564" s="1" t="s">
        <v>5074</v>
      </c>
      <c r="E2564" s="1" t="s">
        <v>5075</v>
      </c>
      <c r="F2564" s="2">
        <v>798</v>
      </c>
      <c r="G2564" s="3">
        <v>31.5</v>
      </c>
      <c r="H2564" s="4" t="str">
        <f>IF(AND(A2564="Yes",C2564="School"),COUNTIFS($A$6:A2564,"Yes",$C$6:C2564,"School"),"")</f>
        <v/>
      </c>
    </row>
    <row r="2565" spans="1:8">
      <c r="A2565" s="13"/>
      <c r="B2565" s="1" t="s">
        <v>4724</v>
      </c>
      <c r="C2565" s="1" t="s">
        <v>24</v>
      </c>
      <c r="D2565" s="1" t="s">
        <v>5076</v>
      </c>
      <c r="E2565" s="1" t="s">
        <v>5077</v>
      </c>
      <c r="F2565" s="2">
        <v>769</v>
      </c>
      <c r="G2565" s="3">
        <v>63.1</v>
      </c>
      <c r="H2565" s="4" t="str">
        <f>IF(AND(A2565="Yes",C2565="School"),COUNTIFS($A$6:A2565,"Yes",$C$6:C2565,"School"),"")</f>
        <v/>
      </c>
    </row>
    <row r="2566" spans="1:8">
      <c r="A2566" s="13"/>
      <c r="B2566" s="1" t="s">
        <v>4724</v>
      </c>
      <c r="C2566" s="1" t="s">
        <v>24</v>
      </c>
      <c r="D2566" s="1" t="s">
        <v>5078</v>
      </c>
      <c r="E2566" s="1" t="s">
        <v>5079</v>
      </c>
      <c r="F2566" s="2">
        <v>657</v>
      </c>
      <c r="G2566" s="3">
        <v>67.400000000000006</v>
      </c>
      <c r="H2566" s="4" t="str">
        <f>IF(AND(A2566="Yes",C2566="School"),COUNTIFS($A$6:A2566,"Yes",$C$6:C2566,"School"),"")</f>
        <v/>
      </c>
    </row>
    <row r="2567" spans="1:8">
      <c r="A2567" s="13"/>
      <c r="B2567" s="1" t="s">
        <v>4724</v>
      </c>
      <c r="C2567" s="1" t="s">
        <v>24</v>
      </c>
      <c r="D2567" s="1" t="s">
        <v>1378</v>
      </c>
      <c r="E2567" s="1" t="s">
        <v>5080</v>
      </c>
      <c r="F2567" s="2">
        <v>516</v>
      </c>
      <c r="G2567" s="3">
        <v>25.4</v>
      </c>
      <c r="H2567" s="4" t="str">
        <f>IF(AND(A2567="Yes",C2567="School"),COUNTIFS($A$6:A2567,"Yes",$C$6:C2567,"School"),"")</f>
        <v/>
      </c>
    </row>
    <row r="2568" spans="1:8">
      <c r="A2568" s="13"/>
      <c r="B2568" s="1" t="s">
        <v>4724</v>
      </c>
      <c r="C2568" s="1" t="s">
        <v>24</v>
      </c>
      <c r="D2568" s="1" t="s">
        <v>5081</v>
      </c>
      <c r="E2568" s="1" t="s">
        <v>5082</v>
      </c>
      <c r="F2568" s="2">
        <v>689</v>
      </c>
      <c r="G2568" s="3">
        <v>32.200000000000003</v>
      </c>
      <c r="H2568" s="4" t="str">
        <f>IF(AND(A2568="Yes",C2568="School"),COUNTIFS($A$6:A2568,"Yes",$C$6:C2568,"School"),"")</f>
        <v/>
      </c>
    </row>
    <row r="2569" spans="1:8">
      <c r="A2569" s="13"/>
      <c r="B2569" s="1" t="s">
        <v>4724</v>
      </c>
      <c r="C2569" s="1" t="s">
        <v>24</v>
      </c>
      <c r="D2569" s="1" t="s">
        <v>5083</v>
      </c>
      <c r="E2569" s="1" t="s">
        <v>5084</v>
      </c>
      <c r="F2569" s="2">
        <v>449</v>
      </c>
      <c r="G2569" s="3">
        <v>51.9</v>
      </c>
      <c r="H2569" s="4" t="str">
        <f>IF(AND(A2569="Yes",C2569="School"),COUNTIFS($A$6:A2569,"Yes",$C$6:C2569,"School"),"")</f>
        <v/>
      </c>
    </row>
    <row r="2570" spans="1:8">
      <c r="A2570" s="13"/>
      <c r="B2570" s="1" t="s">
        <v>4724</v>
      </c>
      <c r="C2570" s="1" t="s">
        <v>24</v>
      </c>
      <c r="D2570" s="1" t="s">
        <v>5085</v>
      </c>
      <c r="E2570" s="1" t="s">
        <v>5086</v>
      </c>
      <c r="F2570" s="2">
        <v>804</v>
      </c>
      <c r="G2570" s="3">
        <v>48</v>
      </c>
      <c r="H2570" s="4" t="str">
        <f>IF(AND(A2570="Yes",C2570="School"),COUNTIFS($A$6:A2570,"Yes",$C$6:C2570,"School"),"")</f>
        <v/>
      </c>
    </row>
    <row r="2571" spans="1:8">
      <c r="A2571" s="13"/>
      <c r="B2571" s="1" t="s">
        <v>4724</v>
      </c>
      <c r="C2571" s="1" t="s">
        <v>24</v>
      </c>
      <c r="D2571" s="1" t="s">
        <v>5087</v>
      </c>
      <c r="E2571" s="1" t="s">
        <v>5088</v>
      </c>
      <c r="F2571" s="2">
        <v>840</v>
      </c>
      <c r="G2571" s="3">
        <v>31.7</v>
      </c>
      <c r="H2571" s="4" t="str">
        <f>IF(AND(A2571="Yes",C2571="School"),COUNTIFS($A$6:A2571,"Yes",$C$6:C2571,"School"),"")</f>
        <v/>
      </c>
    </row>
    <row r="2572" spans="1:8">
      <c r="A2572" s="13"/>
      <c r="B2572" s="1" t="s">
        <v>4724</v>
      </c>
      <c r="C2572" s="1" t="s">
        <v>24</v>
      </c>
      <c r="D2572" s="1" t="s">
        <v>5089</v>
      </c>
      <c r="E2572" s="1" t="s">
        <v>5090</v>
      </c>
      <c r="F2572" s="2">
        <v>581</v>
      </c>
      <c r="G2572" s="3">
        <v>31.8</v>
      </c>
      <c r="H2572" s="4" t="str">
        <f>IF(AND(A2572="Yes",C2572="School"),COUNTIFS($A$6:A2572,"Yes",$C$6:C2572,"School"),"")</f>
        <v/>
      </c>
    </row>
    <row r="2573" spans="1:8">
      <c r="A2573" s="13"/>
      <c r="B2573" s="1" t="s">
        <v>4724</v>
      </c>
      <c r="C2573" s="1" t="s">
        <v>24</v>
      </c>
      <c r="D2573" s="1" t="s">
        <v>5091</v>
      </c>
      <c r="E2573" s="1" t="s">
        <v>5092</v>
      </c>
      <c r="F2573" s="2">
        <v>685</v>
      </c>
      <c r="G2573" s="3">
        <v>46.3</v>
      </c>
      <c r="H2573" s="4" t="str">
        <f>IF(AND(A2573="Yes",C2573="School"),COUNTIFS($A$6:A2573,"Yes",$C$6:C2573,"School"),"")</f>
        <v/>
      </c>
    </row>
    <row r="2574" spans="1:8">
      <c r="A2574" s="13"/>
      <c r="B2574" s="1" t="s">
        <v>4724</v>
      </c>
      <c r="C2574" s="1" t="s">
        <v>24</v>
      </c>
      <c r="D2574" s="1" t="s">
        <v>5093</v>
      </c>
      <c r="E2574" s="1" t="s">
        <v>5094</v>
      </c>
      <c r="F2574" s="2">
        <v>1202</v>
      </c>
      <c r="G2574" s="3">
        <v>30.7</v>
      </c>
      <c r="H2574" s="4" t="str">
        <f>IF(AND(A2574="Yes",C2574="School"),COUNTIFS($A$6:A2574,"Yes",$C$6:C2574,"School"),"")</f>
        <v/>
      </c>
    </row>
    <row r="2575" spans="1:8">
      <c r="A2575" s="13"/>
      <c r="B2575" s="1" t="s">
        <v>4724</v>
      </c>
      <c r="C2575" s="1" t="s">
        <v>24</v>
      </c>
      <c r="D2575" s="1" t="s">
        <v>735</v>
      </c>
      <c r="E2575" s="1" t="s">
        <v>5095</v>
      </c>
      <c r="F2575" s="2">
        <v>822</v>
      </c>
      <c r="G2575" s="3">
        <v>5.0999999999999996</v>
      </c>
      <c r="H2575" s="4" t="str">
        <f>IF(AND(A2575="Yes",C2575="School"),COUNTIFS($A$6:A2575,"Yes",$C$6:C2575,"School"),"")</f>
        <v/>
      </c>
    </row>
    <row r="2576" spans="1:8">
      <c r="A2576" s="13"/>
      <c r="B2576" s="1" t="s">
        <v>4724</v>
      </c>
      <c r="C2576" s="1" t="s">
        <v>24</v>
      </c>
      <c r="D2576" s="1" t="s">
        <v>5096</v>
      </c>
      <c r="E2576" s="1" t="s">
        <v>5097</v>
      </c>
      <c r="F2576" s="2">
        <v>547</v>
      </c>
      <c r="G2576" s="3">
        <v>66.900000000000006</v>
      </c>
      <c r="H2576" s="4" t="str">
        <f>IF(AND(A2576="Yes",C2576="School"),COUNTIFS($A$6:A2576,"Yes",$C$6:C2576,"School"),"")</f>
        <v/>
      </c>
    </row>
    <row r="2577" spans="1:8">
      <c r="A2577" s="13"/>
      <c r="B2577" s="1" t="s">
        <v>4724</v>
      </c>
      <c r="C2577" s="1" t="s">
        <v>24</v>
      </c>
      <c r="D2577" s="1" t="s">
        <v>5098</v>
      </c>
      <c r="E2577" s="1" t="s">
        <v>5099</v>
      </c>
      <c r="F2577" s="2">
        <v>523</v>
      </c>
      <c r="G2577" s="3">
        <v>67.7</v>
      </c>
      <c r="H2577" s="4" t="str">
        <f>IF(AND(A2577="Yes",C2577="School"),COUNTIFS($A$6:A2577,"Yes",$C$6:C2577,"School"),"")</f>
        <v/>
      </c>
    </row>
    <row r="2578" spans="1:8">
      <c r="A2578" s="13"/>
      <c r="B2578" s="1" t="s">
        <v>4724</v>
      </c>
      <c r="C2578" s="1" t="s">
        <v>24</v>
      </c>
      <c r="D2578" s="1" t="s">
        <v>5100</v>
      </c>
      <c r="E2578" s="1" t="s">
        <v>5101</v>
      </c>
      <c r="F2578" s="2">
        <v>429</v>
      </c>
      <c r="G2578" s="3">
        <v>42.9</v>
      </c>
      <c r="H2578" s="4" t="str">
        <f>IF(AND(A2578="Yes",C2578="School"),COUNTIFS($A$6:A2578,"Yes",$C$6:C2578,"School"),"")</f>
        <v/>
      </c>
    </row>
    <row r="2579" spans="1:8">
      <c r="A2579" s="13"/>
      <c r="B2579" s="1" t="s">
        <v>4724</v>
      </c>
      <c r="C2579" s="1" t="s">
        <v>24</v>
      </c>
      <c r="D2579" s="1" t="s">
        <v>5102</v>
      </c>
      <c r="E2579" s="1" t="s">
        <v>5103</v>
      </c>
      <c r="F2579" s="2">
        <v>2203</v>
      </c>
      <c r="G2579" s="3">
        <v>28.1</v>
      </c>
      <c r="H2579" s="4" t="str">
        <f>IF(AND(A2579="Yes",C2579="School"),COUNTIFS($A$6:A2579,"Yes",$C$6:C2579,"School"),"")</f>
        <v/>
      </c>
    </row>
    <row r="2580" spans="1:8">
      <c r="A2580" s="13"/>
      <c r="B2580" s="1" t="s">
        <v>4724</v>
      </c>
      <c r="C2580" s="1" t="s">
        <v>24</v>
      </c>
      <c r="D2580" s="1" t="s">
        <v>5104</v>
      </c>
      <c r="E2580" s="1" t="s">
        <v>5105</v>
      </c>
      <c r="F2580" s="2">
        <v>904</v>
      </c>
      <c r="G2580" s="3">
        <v>32.9</v>
      </c>
      <c r="H2580" s="4" t="str">
        <f>IF(AND(A2580="Yes",C2580="School"),COUNTIFS($A$6:A2580,"Yes",$C$6:C2580,"School"),"")</f>
        <v/>
      </c>
    </row>
    <row r="2581" spans="1:8">
      <c r="A2581" s="13"/>
      <c r="B2581" s="1" t="s">
        <v>4724</v>
      </c>
      <c r="C2581" s="1" t="s">
        <v>24</v>
      </c>
      <c r="D2581" s="1" t="s">
        <v>5106</v>
      </c>
      <c r="E2581" s="1" t="s">
        <v>5107</v>
      </c>
      <c r="F2581" s="2">
        <v>538</v>
      </c>
      <c r="G2581" s="3">
        <v>21.9</v>
      </c>
      <c r="H2581" s="4" t="str">
        <f>IF(AND(A2581="Yes",C2581="School"),COUNTIFS($A$6:A2581,"Yes",$C$6:C2581,"School"),"")</f>
        <v/>
      </c>
    </row>
    <row r="2582" spans="1:8">
      <c r="A2582" s="13"/>
      <c r="B2582" s="1" t="s">
        <v>4724</v>
      </c>
      <c r="C2582" s="1" t="s">
        <v>24</v>
      </c>
      <c r="D2582" s="1" t="s">
        <v>5108</v>
      </c>
      <c r="E2582" s="1" t="s">
        <v>5109</v>
      </c>
      <c r="F2582" s="2">
        <v>539</v>
      </c>
      <c r="G2582" s="3">
        <v>42.7</v>
      </c>
      <c r="H2582" s="4" t="str">
        <f>IF(AND(A2582="Yes",C2582="School"),COUNTIFS($A$6:A2582,"Yes",$C$6:C2582,"School"),"")</f>
        <v/>
      </c>
    </row>
    <row r="2583" spans="1:8">
      <c r="A2583" s="13"/>
      <c r="B2583" s="1" t="s">
        <v>4724</v>
      </c>
      <c r="C2583" s="1" t="s">
        <v>24</v>
      </c>
      <c r="D2583" s="1" t="s">
        <v>5110</v>
      </c>
      <c r="E2583" s="1" t="s">
        <v>5111</v>
      </c>
      <c r="F2583" s="2">
        <v>583</v>
      </c>
      <c r="G2583" s="3">
        <v>52.1</v>
      </c>
      <c r="H2583" s="4" t="str">
        <f>IF(AND(A2583="Yes",C2583="School"),COUNTIFS($A$6:A2583,"Yes",$C$6:C2583,"School"),"")</f>
        <v/>
      </c>
    </row>
    <row r="2584" spans="1:8">
      <c r="A2584" s="13"/>
      <c r="B2584" s="1" t="s">
        <v>4724</v>
      </c>
      <c r="C2584" s="1" t="s">
        <v>24</v>
      </c>
      <c r="D2584" s="1" t="s">
        <v>5112</v>
      </c>
      <c r="E2584" s="1" t="s">
        <v>5113</v>
      </c>
      <c r="F2584" s="2">
        <v>743</v>
      </c>
      <c r="G2584" s="3">
        <v>63.8</v>
      </c>
      <c r="H2584" s="4" t="str">
        <f>IF(AND(A2584="Yes",C2584="School"),COUNTIFS($A$6:A2584,"Yes",$C$6:C2584,"School"),"")</f>
        <v/>
      </c>
    </row>
    <row r="2585" spans="1:8">
      <c r="A2585" s="13"/>
      <c r="B2585" s="1" t="s">
        <v>4724</v>
      </c>
      <c r="C2585" s="1" t="s">
        <v>24</v>
      </c>
      <c r="D2585" s="1" t="s">
        <v>5114</v>
      </c>
      <c r="E2585" s="1" t="s">
        <v>5115</v>
      </c>
      <c r="F2585" s="2">
        <v>805</v>
      </c>
      <c r="G2585" s="3">
        <v>54</v>
      </c>
      <c r="H2585" s="4" t="str">
        <f>IF(AND(A2585="Yes",C2585="School"),COUNTIFS($A$6:A2585,"Yes",$C$6:C2585,"School"),"")</f>
        <v/>
      </c>
    </row>
    <row r="2586" spans="1:8">
      <c r="A2586" s="13"/>
      <c r="B2586" s="1" t="s">
        <v>5116</v>
      </c>
      <c r="C2586" s="1" t="s">
        <v>24</v>
      </c>
      <c r="D2586" s="1" t="s">
        <v>5116</v>
      </c>
      <c r="E2586" s="1" t="s">
        <v>5117</v>
      </c>
      <c r="F2586" s="2">
        <v>624</v>
      </c>
      <c r="G2586" s="3">
        <v>50</v>
      </c>
      <c r="H2586" s="4" t="str">
        <f>IF(AND(A2586="Yes",C2586="School"),COUNTIFS($A$6:A2586,"Yes",$C$6:C2586,"School"),"")</f>
        <v/>
      </c>
    </row>
    <row r="2587" spans="1:8">
      <c r="A2587" s="13"/>
      <c r="B2587" s="1" t="s">
        <v>5118</v>
      </c>
      <c r="C2587" s="1" t="s">
        <v>24</v>
      </c>
      <c r="D2587" s="1" t="s">
        <v>5118</v>
      </c>
      <c r="E2587" s="1" t="s">
        <v>5119</v>
      </c>
      <c r="F2587" s="2">
        <v>2561</v>
      </c>
      <c r="G2587" s="3">
        <v>29.2</v>
      </c>
      <c r="H2587" s="4" t="str">
        <f>IF(AND(A2587="Yes",C2587="School"),COUNTIFS($A$6:A2587,"Yes",$C$6:C2587,"School"),"")</f>
        <v/>
      </c>
    </row>
    <row r="2588" spans="1:8">
      <c r="A2588" s="13"/>
      <c r="B2588" s="1" t="s">
        <v>5120</v>
      </c>
      <c r="C2588" s="1" t="s">
        <v>40</v>
      </c>
      <c r="D2588" s="1" t="s">
        <v>41</v>
      </c>
      <c r="E2588" s="1" t="s">
        <v>5121</v>
      </c>
      <c r="F2588" s="2">
        <v>1578</v>
      </c>
      <c r="G2588" s="3">
        <v>76.2</v>
      </c>
      <c r="H2588" s="4" t="str">
        <f>IF(AND(A2588="Yes",C2588="School"),COUNTIFS($A$6:A2588,"Yes",$C$6:C2588,"School"),"")</f>
        <v/>
      </c>
    </row>
    <row r="2589" spans="1:8">
      <c r="A2589" s="13"/>
      <c r="B2589" s="1" t="s">
        <v>5120</v>
      </c>
      <c r="C2589" s="1" t="s">
        <v>24</v>
      </c>
      <c r="D2589" s="1" t="s">
        <v>5122</v>
      </c>
      <c r="E2589" s="1" t="s">
        <v>5123</v>
      </c>
      <c r="F2589" s="2">
        <v>324</v>
      </c>
      <c r="G2589" s="3">
        <v>83.6</v>
      </c>
      <c r="H2589" s="4" t="str">
        <f>IF(AND(A2589="Yes",C2589="School"),COUNTIFS($A$6:A2589,"Yes",$C$6:C2589,"School"),"")</f>
        <v/>
      </c>
    </row>
    <row r="2590" spans="1:8">
      <c r="A2590" s="13"/>
      <c r="B2590" s="1" t="s">
        <v>5120</v>
      </c>
      <c r="C2590" s="1" t="s">
        <v>24</v>
      </c>
      <c r="D2590" s="1" t="s">
        <v>844</v>
      </c>
      <c r="E2590" s="1" t="s">
        <v>5124</v>
      </c>
      <c r="F2590" s="2">
        <v>273</v>
      </c>
      <c r="G2590" s="3">
        <v>81</v>
      </c>
      <c r="H2590" s="4" t="str">
        <f>IF(AND(A2590="Yes",C2590="School"),COUNTIFS($A$6:A2590,"Yes",$C$6:C2590,"School"),"")</f>
        <v/>
      </c>
    </row>
    <row r="2591" spans="1:8">
      <c r="A2591" s="13"/>
      <c r="B2591" s="1" t="s">
        <v>5120</v>
      </c>
      <c r="C2591" s="1" t="s">
        <v>24</v>
      </c>
      <c r="D2591" s="1" t="s">
        <v>5125</v>
      </c>
      <c r="E2591" s="1" t="s">
        <v>5126</v>
      </c>
      <c r="F2591" s="2">
        <v>142</v>
      </c>
      <c r="G2591" s="3">
        <v>83.8</v>
      </c>
      <c r="H2591" s="4" t="str">
        <f>IF(AND(A2591="Yes",C2591="School"),COUNTIFS($A$6:A2591,"Yes",$C$6:C2591,"School"),"")</f>
        <v/>
      </c>
    </row>
    <row r="2592" spans="1:8">
      <c r="A2592" s="13"/>
      <c r="B2592" s="1" t="s">
        <v>5120</v>
      </c>
      <c r="C2592" s="1" t="s">
        <v>24</v>
      </c>
      <c r="D2592" s="1" t="s">
        <v>5127</v>
      </c>
      <c r="E2592" s="1" t="s">
        <v>5128</v>
      </c>
      <c r="F2592" s="2">
        <v>370</v>
      </c>
      <c r="G2592" s="3">
        <v>71.400000000000006</v>
      </c>
      <c r="H2592" s="4" t="str">
        <f>IF(AND(A2592="Yes",C2592="School"),COUNTIFS($A$6:A2592,"Yes",$C$6:C2592,"School"),"")</f>
        <v/>
      </c>
    </row>
    <row r="2593" spans="1:8">
      <c r="A2593" s="13"/>
      <c r="B2593" s="1" t="s">
        <v>5120</v>
      </c>
      <c r="C2593" s="1" t="s">
        <v>24</v>
      </c>
      <c r="D2593" s="1" t="s">
        <v>5129</v>
      </c>
      <c r="E2593" s="1" t="s">
        <v>5130</v>
      </c>
      <c r="F2593" s="2">
        <v>343</v>
      </c>
      <c r="G2593" s="3">
        <v>77.3</v>
      </c>
      <c r="H2593" s="4" t="str">
        <f>IF(AND(A2593="Yes",C2593="School"),COUNTIFS($A$6:A2593,"Yes",$C$6:C2593,"School"),"")</f>
        <v/>
      </c>
    </row>
    <row r="2594" spans="1:8">
      <c r="A2594" s="13"/>
      <c r="B2594" s="1" t="s">
        <v>5120</v>
      </c>
      <c r="C2594" s="1" t="s">
        <v>24</v>
      </c>
      <c r="D2594" s="1" t="s">
        <v>5131</v>
      </c>
      <c r="E2594" s="1" t="s">
        <v>5132</v>
      </c>
      <c r="F2594" s="2">
        <v>126</v>
      </c>
      <c r="G2594" s="3">
        <v>49.2</v>
      </c>
      <c r="H2594" s="4" t="str">
        <f>IF(AND(A2594="Yes",C2594="School"),COUNTIFS($A$6:A2594,"Yes",$C$6:C2594,"School"),"")</f>
        <v/>
      </c>
    </row>
    <row r="2595" spans="1:8">
      <c r="A2595" s="13"/>
      <c r="B2595" s="1" t="s">
        <v>5133</v>
      </c>
      <c r="C2595" s="1" t="s">
        <v>40</v>
      </c>
      <c r="D2595" s="1" t="s">
        <v>41</v>
      </c>
      <c r="E2595" s="1" t="s">
        <v>5134</v>
      </c>
      <c r="F2595" s="2">
        <v>1071</v>
      </c>
      <c r="G2595" s="3">
        <v>76.599999999999994</v>
      </c>
      <c r="H2595" s="4" t="str">
        <f>IF(AND(A2595="Yes",C2595="School"),COUNTIFS($A$6:A2595,"Yes",$C$6:C2595,"School"),"")</f>
        <v/>
      </c>
    </row>
    <row r="2596" spans="1:8">
      <c r="A2596" s="13"/>
      <c r="B2596" s="1" t="s">
        <v>5133</v>
      </c>
      <c r="C2596" s="1" t="s">
        <v>24</v>
      </c>
      <c r="D2596" s="1" t="s">
        <v>5135</v>
      </c>
      <c r="E2596" s="1" t="s">
        <v>5136</v>
      </c>
      <c r="F2596" s="2">
        <v>547</v>
      </c>
      <c r="G2596" s="3">
        <v>80.3</v>
      </c>
      <c r="H2596" s="4" t="str">
        <f>IF(AND(A2596="Yes",C2596="School"),COUNTIFS($A$6:A2596,"Yes",$C$6:C2596,"School"),"")</f>
        <v/>
      </c>
    </row>
    <row r="2597" spans="1:8">
      <c r="A2597" s="13"/>
      <c r="B2597" s="1" t="s">
        <v>5133</v>
      </c>
      <c r="C2597" s="1" t="s">
        <v>24</v>
      </c>
      <c r="D2597" s="1" t="s">
        <v>5137</v>
      </c>
      <c r="E2597" s="1" t="s">
        <v>5138</v>
      </c>
      <c r="F2597" s="2">
        <v>464</v>
      </c>
      <c r="G2597" s="3">
        <v>75.2</v>
      </c>
      <c r="H2597" s="4" t="str">
        <f>IF(AND(A2597="Yes",C2597="School"),COUNTIFS($A$6:A2597,"Yes",$C$6:C2597,"School"),"")</f>
        <v/>
      </c>
    </row>
    <row r="2598" spans="1:8">
      <c r="A2598" s="13"/>
      <c r="B2598" s="1" t="s">
        <v>5133</v>
      </c>
      <c r="C2598" s="1" t="s">
        <v>24</v>
      </c>
      <c r="D2598" s="1" t="s">
        <v>5139</v>
      </c>
      <c r="E2598" s="1" t="s">
        <v>5140</v>
      </c>
      <c r="F2598" s="2">
        <v>60</v>
      </c>
      <c r="G2598" s="3">
        <v>53.3</v>
      </c>
      <c r="H2598" s="4" t="str">
        <f>IF(AND(A2598="Yes",C2598="School"),COUNTIFS($A$6:A2598,"Yes",$C$6:C2598,"School"),"")</f>
        <v/>
      </c>
    </row>
    <row r="2599" spans="1:8">
      <c r="A2599" s="13"/>
      <c r="B2599" s="1" t="s">
        <v>5141</v>
      </c>
      <c r="C2599" s="1" t="s">
        <v>24</v>
      </c>
      <c r="D2599" s="1" t="s">
        <v>5141</v>
      </c>
      <c r="E2599" s="1" t="s">
        <v>5142</v>
      </c>
      <c r="F2599" s="2">
        <v>412</v>
      </c>
      <c r="G2599" s="3">
        <v>34.700000000000003</v>
      </c>
      <c r="H2599" s="4" t="str">
        <f>IF(AND(A2599="Yes",C2599="School"),COUNTIFS($A$6:A2599,"Yes",$C$6:C2599,"School"),"")</f>
        <v/>
      </c>
    </row>
    <row r="2600" spans="1:8">
      <c r="A2600" s="13"/>
      <c r="B2600" s="1" t="s">
        <v>5143</v>
      </c>
      <c r="C2600" s="1" t="s">
        <v>40</v>
      </c>
      <c r="D2600" s="1" t="s">
        <v>41</v>
      </c>
      <c r="E2600" s="1" t="s">
        <v>5144</v>
      </c>
      <c r="F2600" s="2">
        <v>4416</v>
      </c>
      <c r="G2600" s="3">
        <v>37.799999999999997</v>
      </c>
      <c r="H2600" s="4" t="str">
        <f>IF(AND(A2600="Yes",C2600="School"),COUNTIFS($A$6:A2600,"Yes",$C$6:C2600,"School"),"")</f>
        <v/>
      </c>
    </row>
    <row r="2601" spans="1:8">
      <c r="A2601" s="13"/>
      <c r="B2601" s="1" t="s">
        <v>5143</v>
      </c>
      <c r="C2601" s="1" t="s">
        <v>24</v>
      </c>
      <c r="D2601" s="1" t="s">
        <v>537</v>
      </c>
      <c r="E2601" s="1" t="s">
        <v>5145</v>
      </c>
      <c r="F2601" s="2">
        <v>114</v>
      </c>
      <c r="G2601" s="3">
        <v>57</v>
      </c>
      <c r="H2601" s="4" t="str">
        <f>IF(AND(A2601="Yes",C2601="School"),COUNTIFS($A$6:A2601,"Yes",$C$6:C2601,"School"),"")</f>
        <v/>
      </c>
    </row>
    <row r="2602" spans="1:8">
      <c r="A2602" s="13"/>
      <c r="B2602" s="1" t="s">
        <v>5143</v>
      </c>
      <c r="C2602" s="1" t="s">
        <v>24</v>
      </c>
      <c r="D2602" s="1" t="s">
        <v>5146</v>
      </c>
      <c r="E2602" s="1" t="s">
        <v>5147</v>
      </c>
      <c r="F2602" s="2">
        <v>381</v>
      </c>
      <c r="G2602" s="3">
        <v>21</v>
      </c>
      <c r="H2602" s="4" t="str">
        <f>IF(AND(A2602="Yes",C2602="School"),COUNTIFS($A$6:A2602,"Yes",$C$6:C2602,"School"),"")</f>
        <v/>
      </c>
    </row>
    <row r="2603" spans="1:8">
      <c r="A2603" s="13"/>
      <c r="B2603" s="1" t="s">
        <v>5143</v>
      </c>
      <c r="C2603" s="1" t="s">
        <v>24</v>
      </c>
      <c r="D2603" s="1" t="s">
        <v>5148</v>
      </c>
      <c r="E2603" s="1" t="s">
        <v>5149</v>
      </c>
      <c r="F2603" s="2">
        <v>256</v>
      </c>
      <c r="G2603" s="3">
        <v>42.2</v>
      </c>
      <c r="H2603" s="4" t="str">
        <f>IF(AND(A2603="Yes",C2603="School"),COUNTIFS($A$6:A2603,"Yes",$C$6:C2603,"School"),"")</f>
        <v/>
      </c>
    </row>
    <row r="2604" spans="1:8">
      <c r="A2604" s="13"/>
      <c r="B2604" s="1" t="s">
        <v>5143</v>
      </c>
      <c r="C2604" s="1" t="s">
        <v>24</v>
      </c>
      <c r="D2604" s="1" t="s">
        <v>5150</v>
      </c>
      <c r="E2604" s="1" t="s">
        <v>5151</v>
      </c>
      <c r="F2604" s="2">
        <v>273</v>
      </c>
      <c r="G2604" s="3">
        <v>62.6</v>
      </c>
      <c r="H2604" s="4" t="str">
        <f>IF(AND(A2604="Yes",C2604="School"),COUNTIFS($A$6:A2604,"Yes",$C$6:C2604,"School"),"")</f>
        <v/>
      </c>
    </row>
    <row r="2605" spans="1:8">
      <c r="A2605" s="13"/>
      <c r="B2605" s="1" t="s">
        <v>5143</v>
      </c>
      <c r="C2605" s="1" t="s">
        <v>24</v>
      </c>
      <c r="D2605" s="1" t="s">
        <v>5152</v>
      </c>
      <c r="E2605" s="1" t="s">
        <v>5153</v>
      </c>
      <c r="F2605" s="2">
        <v>842</v>
      </c>
      <c r="G2605" s="3">
        <v>38.5</v>
      </c>
      <c r="H2605" s="4" t="str">
        <f>IF(AND(A2605="Yes",C2605="School"),COUNTIFS($A$6:A2605,"Yes",$C$6:C2605,"School"),"")</f>
        <v/>
      </c>
    </row>
    <row r="2606" spans="1:8">
      <c r="A2606" s="13"/>
      <c r="B2606" s="1" t="s">
        <v>5143</v>
      </c>
      <c r="C2606" s="1" t="s">
        <v>24</v>
      </c>
      <c r="D2606" s="1" t="s">
        <v>5154</v>
      </c>
      <c r="E2606" s="1" t="s">
        <v>5155</v>
      </c>
      <c r="F2606" s="2">
        <v>132</v>
      </c>
      <c r="G2606" s="3">
        <v>71.2</v>
      </c>
      <c r="H2606" s="4" t="str">
        <f>IF(AND(A2606="Yes",C2606="School"),COUNTIFS($A$6:A2606,"Yes",$C$6:C2606,"School"),"")</f>
        <v/>
      </c>
    </row>
    <row r="2607" spans="1:8">
      <c r="A2607" s="13"/>
      <c r="B2607" s="1" t="s">
        <v>5143</v>
      </c>
      <c r="C2607" s="1" t="s">
        <v>24</v>
      </c>
      <c r="D2607" s="1" t="s">
        <v>5156</v>
      </c>
      <c r="E2607" s="1" t="s">
        <v>5157</v>
      </c>
      <c r="F2607" s="2">
        <v>572</v>
      </c>
      <c r="G2607" s="3">
        <v>37.200000000000003</v>
      </c>
      <c r="H2607" s="4" t="str">
        <f>IF(AND(A2607="Yes",C2607="School"),COUNTIFS($A$6:A2607,"Yes",$C$6:C2607,"School"),"")</f>
        <v/>
      </c>
    </row>
    <row r="2608" spans="1:8">
      <c r="A2608" s="13"/>
      <c r="B2608" s="1" t="s">
        <v>5143</v>
      </c>
      <c r="C2608" s="1" t="s">
        <v>24</v>
      </c>
      <c r="D2608" s="1" t="s">
        <v>5158</v>
      </c>
      <c r="E2608" s="1" t="s">
        <v>5159</v>
      </c>
      <c r="F2608" s="2">
        <v>346</v>
      </c>
      <c r="G2608" s="3">
        <v>43.6</v>
      </c>
      <c r="H2608" s="4" t="str">
        <f>IF(AND(A2608="Yes",C2608="School"),COUNTIFS($A$6:A2608,"Yes",$C$6:C2608,"School"),"")</f>
        <v/>
      </c>
    </row>
    <row r="2609" spans="1:8">
      <c r="A2609" s="13"/>
      <c r="B2609" s="1" t="s">
        <v>5143</v>
      </c>
      <c r="C2609" s="1" t="s">
        <v>24</v>
      </c>
      <c r="D2609" s="1" t="s">
        <v>5160</v>
      </c>
      <c r="E2609" s="1" t="s">
        <v>5161</v>
      </c>
      <c r="F2609" s="2">
        <v>1202</v>
      </c>
      <c r="G2609" s="3">
        <v>28.5</v>
      </c>
      <c r="H2609" s="4" t="str">
        <f>IF(AND(A2609="Yes",C2609="School"),COUNTIFS($A$6:A2609,"Yes",$C$6:C2609,"School"),"")</f>
        <v/>
      </c>
    </row>
    <row r="2610" spans="1:8">
      <c r="A2610" s="13"/>
      <c r="B2610" s="1" t="s">
        <v>5143</v>
      </c>
      <c r="C2610" s="1" t="s">
        <v>24</v>
      </c>
      <c r="D2610" s="1" t="s">
        <v>5162</v>
      </c>
      <c r="E2610" s="1" t="s">
        <v>5163</v>
      </c>
      <c r="F2610" s="2">
        <v>286</v>
      </c>
      <c r="G2610" s="3">
        <v>41.3</v>
      </c>
      <c r="H2610" s="4" t="str">
        <f>IF(AND(A2610="Yes",C2610="School"),COUNTIFS($A$6:A2610,"Yes",$C$6:C2610,"School"),"")</f>
        <v/>
      </c>
    </row>
    <row r="2611" spans="1:8">
      <c r="A2611" s="13"/>
      <c r="B2611" s="1" t="s">
        <v>5143</v>
      </c>
      <c r="C2611" s="1" t="s">
        <v>24</v>
      </c>
      <c r="D2611" s="1" t="s">
        <v>5164</v>
      </c>
      <c r="E2611" s="1" t="s">
        <v>5165</v>
      </c>
      <c r="F2611" s="2">
        <v>12</v>
      </c>
      <c r="G2611" s="3">
        <v>33.299999999999997</v>
      </c>
      <c r="H2611" s="4" t="str">
        <f>IF(AND(A2611="Yes",C2611="School"),COUNTIFS($A$6:A2611,"Yes",$C$6:C2611,"School"),"")</f>
        <v/>
      </c>
    </row>
    <row r="2612" spans="1:8">
      <c r="A2612" s="13"/>
      <c r="B2612" s="1" t="s">
        <v>5166</v>
      </c>
      <c r="C2612" s="1" t="s">
        <v>24</v>
      </c>
      <c r="D2612" s="1" t="s">
        <v>5166</v>
      </c>
      <c r="E2612" s="1" t="s">
        <v>5167</v>
      </c>
      <c r="F2612" s="2">
        <v>47</v>
      </c>
      <c r="G2612" s="3">
        <v>40.4</v>
      </c>
      <c r="H2612" s="4" t="str">
        <f>IF(AND(A2612="Yes",C2612="School"),COUNTIFS($A$6:A2612,"Yes",$C$6:C2612,"School"),"")</f>
        <v/>
      </c>
    </row>
    <row r="2613" spans="1:8">
      <c r="A2613" s="13"/>
      <c r="B2613" s="1" t="s">
        <v>5168</v>
      </c>
      <c r="C2613" s="1" t="s">
        <v>40</v>
      </c>
      <c r="D2613" s="1" t="s">
        <v>41</v>
      </c>
      <c r="E2613" s="1" t="s">
        <v>5169</v>
      </c>
      <c r="F2613" s="2">
        <v>16823</v>
      </c>
      <c r="G2613" s="3">
        <v>59.4</v>
      </c>
      <c r="H2613" s="4" t="str">
        <f>IF(AND(A2613="Yes",C2613="School"),COUNTIFS($A$6:A2613,"Yes",$C$6:C2613,"School"),"")</f>
        <v/>
      </c>
    </row>
    <row r="2614" spans="1:8">
      <c r="A2614" s="13"/>
      <c r="B2614" s="1" t="s">
        <v>5168</v>
      </c>
      <c r="C2614" s="1" t="s">
        <v>24</v>
      </c>
      <c r="D2614" s="1" t="s">
        <v>1858</v>
      </c>
      <c r="E2614" s="1" t="s">
        <v>5170</v>
      </c>
      <c r="F2614" s="2">
        <v>591</v>
      </c>
      <c r="G2614" s="3">
        <v>71.099999999999994</v>
      </c>
      <c r="H2614" s="4" t="str">
        <f>IF(AND(A2614="Yes",C2614="School"),COUNTIFS($A$6:A2614,"Yes",$C$6:C2614,"School"),"")</f>
        <v/>
      </c>
    </row>
    <row r="2615" spans="1:8">
      <c r="A2615" s="13"/>
      <c r="B2615" s="1" t="s">
        <v>5168</v>
      </c>
      <c r="C2615" s="1" t="s">
        <v>24</v>
      </c>
      <c r="D2615" s="1" t="s">
        <v>5171</v>
      </c>
      <c r="E2615" s="1" t="s">
        <v>5172</v>
      </c>
      <c r="F2615" s="2">
        <v>700</v>
      </c>
      <c r="G2615" s="3">
        <v>76.099999999999994</v>
      </c>
      <c r="H2615" s="4" t="str">
        <f>IF(AND(A2615="Yes",C2615="School"),COUNTIFS($A$6:A2615,"Yes",$C$6:C2615,"School"),"")</f>
        <v/>
      </c>
    </row>
    <row r="2616" spans="1:8">
      <c r="A2616" s="13"/>
      <c r="B2616" s="1" t="s">
        <v>5168</v>
      </c>
      <c r="C2616" s="1" t="s">
        <v>24</v>
      </c>
      <c r="D2616" s="1" t="s">
        <v>4695</v>
      </c>
      <c r="E2616" s="1" t="s">
        <v>5173</v>
      </c>
      <c r="F2616" s="2">
        <v>491</v>
      </c>
      <c r="G2616" s="3">
        <v>68.400000000000006</v>
      </c>
      <c r="H2616" s="4" t="str">
        <f>IF(AND(A2616="Yes",C2616="School"),COUNTIFS($A$6:A2616,"Yes",$C$6:C2616,"School"),"")</f>
        <v/>
      </c>
    </row>
    <row r="2617" spans="1:8">
      <c r="A2617" s="13"/>
      <c r="B2617" s="1" t="s">
        <v>5168</v>
      </c>
      <c r="C2617" s="1" t="s">
        <v>24</v>
      </c>
      <c r="D2617" s="1" t="s">
        <v>5174</v>
      </c>
      <c r="E2617" s="1" t="s">
        <v>5175</v>
      </c>
      <c r="F2617" s="2">
        <v>372</v>
      </c>
      <c r="G2617" s="3">
        <v>80.599999999999994</v>
      </c>
      <c r="H2617" s="4" t="str">
        <f>IF(AND(A2617="Yes",C2617="School"),COUNTIFS($A$6:A2617,"Yes",$C$6:C2617,"School"),"")</f>
        <v/>
      </c>
    </row>
    <row r="2618" spans="1:8">
      <c r="A2618" s="13"/>
      <c r="B2618" s="1" t="s">
        <v>5168</v>
      </c>
      <c r="C2618" s="1" t="s">
        <v>24</v>
      </c>
      <c r="D2618" s="1" t="s">
        <v>5176</v>
      </c>
      <c r="E2618" s="1" t="s">
        <v>5177</v>
      </c>
      <c r="F2618" s="2">
        <v>1052</v>
      </c>
      <c r="G2618" s="3">
        <v>43.3</v>
      </c>
      <c r="H2618" s="4" t="str">
        <f>IF(AND(A2618="Yes",C2618="School"),COUNTIFS($A$6:A2618,"Yes",$C$6:C2618,"School"),"")</f>
        <v/>
      </c>
    </row>
    <row r="2619" spans="1:8">
      <c r="A2619" s="13"/>
      <c r="B2619" s="1" t="s">
        <v>5168</v>
      </c>
      <c r="C2619" s="1" t="s">
        <v>24</v>
      </c>
      <c r="D2619" s="1" t="s">
        <v>5178</v>
      </c>
      <c r="E2619" s="1" t="s">
        <v>5179</v>
      </c>
      <c r="F2619" s="2">
        <v>319</v>
      </c>
      <c r="G2619" s="3">
        <v>81.2</v>
      </c>
      <c r="H2619" s="4" t="str">
        <f>IF(AND(A2619="Yes",C2619="School"),COUNTIFS($A$6:A2619,"Yes",$C$6:C2619,"School"),"")</f>
        <v/>
      </c>
    </row>
    <row r="2620" spans="1:8">
      <c r="A2620" s="13"/>
      <c r="B2620" s="1" t="s">
        <v>5168</v>
      </c>
      <c r="C2620" s="1" t="s">
        <v>24</v>
      </c>
      <c r="D2620" s="1" t="s">
        <v>5180</v>
      </c>
      <c r="E2620" s="1" t="s">
        <v>5181</v>
      </c>
      <c r="F2620" s="2">
        <v>579</v>
      </c>
      <c r="G2620" s="3">
        <v>73.2</v>
      </c>
      <c r="H2620" s="4" t="str">
        <f>IF(AND(A2620="Yes",C2620="School"),COUNTIFS($A$6:A2620,"Yes",$C$6:C2620,"School"),"")</f>
        <v/>
      </c>
    </row>
    <row r="2621" spans="1:8">
      <c r="A2621" s="13"/>
      <c r="B2621" s="1" t="s">
        <v>5168</v>
      </c>
      <c r="C2621" s="1" t="s">
        <v>24</v>
      </c>
      <c r="D2621" s="1" t="s">
        <v>5182</v>
      </c>
      <c r="E2621" s="1" t="s">
        <v>5183</v>
      </c>
      <c r="F2621" s="2">
        <v>724</v>
      </c>
      <c r="G2621" s="3">
        <v>57</v>
      </c>
      <c r="H2621" s="4" t="str">
        <f>IF(AND(A2621="Yes",C2621="School"),COUNTIFS($A$6:A2621,"Yes",$C$6:C2621,"School"),"")</f>
        <v/>
      </c>
    </row>
    <row r="2622" spans="1:8">
      <c r="A2622" s="13"/>
      <c r="B2622" s="1" t="s">
        <v>5168</v>
      </c>
      <c r="C2622" s="1" t="s">
        <v>24</v>
      </c>
      <c r="D2622" s="1" t="s">
        <v>5184</v>
      </c>
      <c r="E2622" s="1" t="s">
        <v>5185</v>
      </c>
      <c r="F2622" s="2">
        <v>364</v>
      </c>
      <c r="G2622" s="3">
        <v>69.2</v>
      </c>
      <c r="H2622" s="4" t="str">
        <f>IF(AND(A2622="Yes",C2622="School"),COUNTIFS($A$6:A2622,"Yes",$C$6:C2622,"School"),"")</f>
        <v/>
      </c>
    </row>
    <row r="2623" spans="1:8">
      <c r="A2623" s="13"/>
      <c r="B2623" s="1" t="s">
        <v>5168</v>
      </c>
      <c r="C2623" s="1" t="s">
        <v>24</v>
      </c>
      <c r="D2623" s="1" t="s">
        <v>5186</v>
      </c>
      <c r="E2623" s="1" t="s">
        <v>5187</v>
      </c>
      <c r="F2623" s="2">
        <v>35</v>
      </c>
      <c r="G2623" s="3">
        <v>74.3</v>
      </c>
      <c r="H2623" s="4" t="str">
        <f>IF(AND(A2623="Yes",C2623="School"),COUNTIFS($A$6:A2623,"Yes",$C$6:C2623,"School"),"")</f>
        <v/>
      </c>
    </row>
    <row r="2624" spans="1:8">
      <c r="A2624" s="13"/>
      <c r="B2624" s="1" t="s">
        <v>5168</v>
      </c>
      <c r="C2624" s="1" t="s">
        <v>24</v>
      </c>
      <c r="D2624" s="1" t="s">
        <v>5188</v>
      </c>
      <c r="E2624" s="1" t="s">
        <v>5189</v>
      </c>
      <c r="F2624" s="2">
        <v>575</v>
      </c>
      <c r="G2624" s="3">
        <v>59.7</v>
      </c>
      <c r="H2624" s="4" t="str">
        <f>IF(AND(A2624="Yes",C2624="School"),COUNTIFS($A$6:A2624,"Yes",$C$6:C2624,"School"),"")</f>
        <v/>
      </c>
    </row>
    <row r="2625" spans="1:8">
      <c r="A2625" s="13"/>
      <c r="B2625" s="1" t="s">
        <v>5168</v>
      </c>
      <c r="C2625" s="1" t="s">
        <v>24</v>
      </c>
      <c r="D2625" s="1" t="s">
        <v>5190</v>
      </c>
      <c r="E2625" s="1" t="s">
        <v>5191</v>
      </c>
      <c r="F2625" s="2">
        <v>393</v>
      </c>
      <c r="G2625" s="3">
        <v>73</v>
      </c>
      <c r="H2625" s="4" t="str">
        <f>IF(AND(A2625="Yes",C2625="School"),COUNTIFS($A$6:A2625,"Yes",$C$6:C2625,"School"),"")</f>
        <v/>
      </c>
    </row>
    <row r="2626" spans="1:8">
      <c r="A2626" s="13"/>
      <c r="B2626" s="1" t="s">
        <v>5168</v>
      </c>
      <c r="C2626" s="1" t="s">
        <v>24</v>
      </c>
      <c r="D2626" s="1" t="s">
        <v>5192</v>
      </c>
      <c r="E2626" s="1" t="s">
        <v>5193</v>
      </c>
      <c r="F2626" s="2">
        <v>474</v>
      </c>
      <c r="G2626" s="3">
        <v>65</v>
      </c>
      <c r="H2626" s="4" t="str">
        <f>IF(AND(A2626="Yes",C2626="School"),COUNTIFS($A$6:A2626,"Yes",$C$6:C2626,"School"),"")</f>
        <v/>
      </c>
    </row>
    <row r="2627" spans="1:8">
      <c r="A2627" s="13"/>
      <c r="B2627" s="1" t="s">
        <v>5168</v>
      </c>
      <c r="C2627" s="1" t="s">
        <v>24</v>
      </c>
      <c r="D2627" s="1" t="s">
        <v>5194</v>
      </c>
      <c r="E2627" s="1" t="s">
        <v>5195</v>
      </c>
      <c r="F2627" s="2">
        <v>307</v>
      </c>
      <c r="G2627" s="3">
        <v>64.5</v>
      </c>
      <c r="H2627" s="4" t="str">
        <f>IF(AND(A2627="Yes",C2627="School"),COUNTIFS($A$6:A2627,"Yes",$C$6:C2627,"School"),"")</f>
        <v/>
      </c>
    </row>
    <row r="2628" spans="1:8">
      <c r="A2628" s="13"/>
      <c r="B2628" s="1" t="s">
        <v>5168</v>
      </c>
      <c r="C2628" s="1" t="s">
        <v>24</v>
      </c>
      <c r="D2628" s="1" t="s">
        <v>5196</v>
      </c>
      <c r="E2628" s="1" t="s">
        <v>5197</v>
      </c>
      <c r="F2628" s="2">
        <v>335</v>
      </c>
      <c r="G2628" s="3">
        <v>54.3</v>
      </c>
      <c r="H2628" s="4" t="str">
        <f>IF(AND(A2628="Yes",C2628="School"),COUNTIFS($A$6:A2628,"Yes",$C$6:C2628,"School"),"")</f>
        <v/>
      </c>
    </row>
    <row r="2629" spans="1:8">
      <c r="A2629" s="13"/>
      <c r="B2629" s="1" t="s">
        <v>5168</v>
      </c>
      <c r="C2629" s="1" t="s">
        <v>24</v>
      </c>
      <c r="D2629" s="1" t="s">
        <v>5198</v>
      </c>
      <c r="E2629" s="1" t="s">
        <v>5199</v>
      </c>
      <c r="F2629" s="2">
        <v>682</v>
      </c>
      <c r="G2629" s="3">
        <v>43.4</v>
      </c>
      <c r="H2629" s="4" t="str">
        <f>IF(AND(A2629="Yes",C2629="School"),COUNTIFS($A$6:A2629,"Yes",$C$6:C2629,"School"),"")</f>
        <v/>
      </c>
    </row>
    <row r="2630" spans="1:8">
      <c r="A2630" s="13"/>
      <c r="B2630" s="1" t="s">
        <v>5168</v>
      </c>
      <c r="C2630" s="1" t="s">
        <v>24</v>
      </c>
      <c r="D2630" s="1" t="s">
        <v>5200</v>
      </c>
      <c r="E2630" s="1" t="s">
        <v>5201</v>
      </c>
      <c r="F2630" s="2">
        <v>336</v>
      </c>
      <c r="G2630" s="3">
        <v>67.3</v>
      </c>
      <c r="H2630" s="4" t="str">
        <f>IF(AND(A2630="Yes",C2630="School"),COUNTIFS($A$6:A2630,"Yes",$C$6:C2630,"School"),"")</f>
        <v/>
      </c>
    </row>
    <row r="2631" spans="1:8">
      <c r="A2631" s="13"/>
      <c r="B2631" s="1" t="s">
        <v>5168</v>
      </c>
      <c r="C2631" s="1" t="s">
        <v>24</v>
      </c>
      <c r="D2631" s="1" t="s">
        <v>5202</v>
      </c>
      <c r="E2631" s="1" t="s">
        <v>5203</v>
      </c>
      <c r="F2631" s="2">
        <v>536</v>
      </c>
      <c r="G2631" s="3">
        <v>77.599999999999994</v>
      </c>
      <c r="H2631" s="4" t="str">
        <f>IF(AND(A2631="Yes",C2631="School"),COUNTIFS($A$6:A2631,"Yes",$C$6:C2631,"School"),"")</f>
        <v/>
      </c>
    </row>
    <row r="2632" spans="1:8">
      <c r="A2632" s="13"/>
      <c r="B2632" s="1" t="s">
        <v>5168</v>
      </c>
      <c r="C2632" s="1" t="s">
        <v>24</v>
      </c>
      <c r="D2632" s="1" t="s">
        <v>285</v>
      </c>
      <c r="E2632" s="1" t="s">
        <v>5204</v>
      </c>
      <c r="F2632" s="2">
        <v>526</v>
      </c>
      <c r="G2632" s="3">
        <v>60.1</v>
      </c>
      <c r="H2632" s="4" t="str">
        <f>IF(AND(A2632="Yes",C2632="School"),COUNTIFS($A$6:A2632,"Yes",$C$6:C2632,"School"),"")</f>
        <v/>
      </c>
    </row>
    <row r="2633" spans="1:8">
      <c r="A2633" s="13"/>
      <c r="B2633" s="1" t="s">
        <v>5168</v>
      </c>
      <c r="C2633" s="1" t="s">
        <v>24</v>
      </c>
      <c r="D2633" s="1" t="s">
        <v>1760</v>
      </c>
      <c r="E2633" s="1" t="s">
        <v>5205</v>
      </c>
      <c r="F2633" s="2">
        <v>557</v>
      </c>
      <c r="G2633" s="3">
        <v>49</v>
      </c>
      <c r="H2633" s="4" t="str">
        <f>IF(AND(A2633="Yes",C2633="School"),COUNTIFS($A$6:A2633,"Yes",$C$6:C2633,"School"),"")</f>
        <v/>
      </c>
    </row>
    <row r="2634" spans="1:8">
      <c r="A2634" s="13"/>
      <c r="B2634" s="1" t="s">
        <v>5168</v>
      </c>
      <c r="C2634" s="1" t="s">
        <v>24</v>
      </c>
      <c r="D2634" s="1" t="s">
        <v>5206</v>
      </c>
      <c r="E2634" s="1" t="s">
        <v>5207</v>
      </c>
      <c r="F2634" s="2">
        <v>889</v>
      </c>
      <c r="G2634" s="3">
        <v>48.4</v>
      </c>
      <c r="H2634" s="4" t="str">
        <f>IF(AND(A2634="Yes",C2634="School"),COUNTIFS($A$6:A2634,"Yes",$C$6:C2634,"School"),"")</f>
        <v/>
      </c>
    </row>
    <row r="2635" spans="1:8">
      <c r="A2635" s="13"/>
      <c r="B2635" s="1" t="s">
        <v>5168</v>
      </c>
      <c r="C2635" s="1" t="s">
        <v>24</v>
      </c>
      <c r="D2635" s="1" t="s">
        <v>5208</v>
      </c>
      <c r="E2635" s="1" t="s">
        <v>5209</v>
      </c>
      <c r="F2635" s="2">
        <v>668</v>
      </c>
      <c r="G2635" s="3">
        <v>57.2</v>
      </c>
      <c r="H2635" s="4" t="str">
        <f>IF(AND(A2635="Yes",C2635="School"),COUNTIFS($A$6:A2635,"Yes",$C$6:C2635,"School"),"")</f>
        <v/>
      </c>
    </row>
    <row r="2636" spans="1:8">
      <c r="A2636" s="13"/>
      <c r="B2636" s="1" t="s">
        <v>5168</v>
      </c>
      <c r="C2636" s="1" t="s">
        <v>24</v>
      </c>
      <c r="D2636" s="1" t="s">
        <v>5210</v>
      </c>
      <c r="E2636" s="1" t="s">
        <v>5211</v>
      </c>
      <c r="F2636" s="2">
        <v>421</v>
      </c>
      <c r="G2636" s="3">
        <v>40.9</v>
      </c>
      <c r="H2636" s="4" t="str">
        <f>IF(AND(A2636="Yes",C2636="School"),COUNTIFS($A$6:A2636,"Yes",$C$6:C2636,"School"),"")</f>
        <v/>
      </c>
    </row>
    <row r="2637" spans="1:8">
      <c r="A2637" s="13"/>
      <c r="B2637" s="1" t="s">
        <v>5168</v>
      </c>
      <c r="C2637" s="1" t="s">
        <v>24</v>
      </c>
      <c r="D2637" s="1" t="s">
        <v>5212</v>
      </c>
      <c r="E2637" s="1" t="s">
        <v>5213</v>
      </c>
      <c r="F2637" s="2">
        <v>307</v>
      </c>
      <c r="G2637" s="3">
        <v>50.8</v>
      </c>
      <c r="H2637" s="4" t="str">
        <f>IF(AND(A2637="Yes",C2637="School"),COUNTIFS($A$6:A2637,"Yes",$C$6:C2637,"School"),"")</f>
        <v/>
      </c>
    </row>
    <row r="2638" spans="1:8">
      <c r="A2638" s="13"/>
      <c r="B2638" s="1" t="s">
        <v>5168</v>
      </c>
      <c r="C2638" s="1" t="s">
        <v>24</v>
      </c>
      <c r="D2638" s="1" t="s">
        <v>5214</v>
      </c>
      <c r="E2638" s="1" t="s">
        <v>5215</v>
      </c>
      <c r="F2638" s="2">
        <v>849</v>
      </c>
      <c r="G2638" s="3">
        <v>60.1</v>
      </c>
      <c r="H2638" s="4" t="str">
        <f>IF(AND(A2638="Yes",C2638="School"),COUNTIFS($A$6:A2638,"Yes",$C$6:C2638,"School"),"")</f>
        <v/>
      </c>
    </row>
    <row r="2639" spans="1:8">
      <c r="A2639" s="13"/>
      <c r="B2639" s="1" t="s">
        <v>5168</v>
      </c>
      <c r="C2639" s="1" t="s">
        <v>24</v>
      </c>
      <c r="D2639" s="1" t="s">
        <v>5216</v>
      </c>
      <c r="E2639" s="1" t="s">
        <v>5217</v>
      </c>
      <c r="F2639" s="2">
        <v>782</v>
      </c>
      <c r="G2639" s="3">
        <v>61.9</v>
      </c>
      <c r="H2639" s="4" t="str">
        <f>IF(AND(A2639="Yes",C2639="School"),COUNTIFS($A$6:A2639,"Yes",$C$6:C2639,"School"),"")</f>
        <v/>
      </c>
    </row>
    <row r="2640" spans="1:8">
      <c r="A2640" s="13"/>
      <c r="B2640" s="1" t="s">
        <v>5168</v>
      </c>
      <c r="C2640" s="1" t="s">
        <v>24</v>
      </c>
      <c r="D2640" s="1" t="s">
        <v>5218</v>
      </c>
      <c r="E2640" s="1" t="s">
        <v>5219</v>
      </c>
      <c r="F2640" s="2">
        <v>687</v>
      </c>
      <c r="G2640" s="3">
        <v>58.1</v>
      </c>
      <c r="H2640" s="4" t="str">
        <f>IF(AND(A2640="Yes",C2640="School"),COUNTIFS($A$6:A2640,"Yes",$C$6:C2640,"School"),"")</f>
        <v/>
      </c>
    </row>
    <row r="2641" spans="1:8">
      <c r="A2641" s="13"/>
      <c r="B2641" s="1" t="s">
        <v>5168</v>
      </c>
      <c r="C2641" s="1" t="s">
        <v>24</v>
      </c>
      <c r="D2641" s="1" t="s">
        <v>5220</v>
      </c>
      <c r="E2641" s="1" t="s">
        <v>5221</v>
      </c>
      <c r="F2641" s="2">
        <v>595</v>
      </c>
      <c r="G2641" s="3">
        <v>60.8</v>
      </c>
      <c r="H2641" s="4" t="str">
        <f>IF(AND(A2641="Yes",C2641="School"),COUNTIFS($A$6:A2641,"Yes",$C$6:C2641,"School"),"")</f>
        <v/>
      </c>
    </row>
    <row r="2642" spans="1:8">
      <c r="A2642" s="13"/>
      <c r="B2642" s="1" t="s">
        <v>5168</v>
      </c>
      <c r="C2642" s="1" t="s">
        <v>24</v>
      </c>
      <c r="D2642" s="1" t="s">
        <v>5222</v>
      </c>
      <c r="E2642" s="1" t="s">
        <v>5223</v>
      </c>
      <c r="F2642" s="2">
        <v>490</v>
      </c>
      <c r="G2642" s="3">
        <v>66.5</v>
      </c>
      <c r="H2642" s="4" t="str">
        <f>IF(AND(A2642="Yes",C2642="School"),COUNTIFS($A$6:A2642,"Yes",$C$6:C2642,"School"),"")</f>
        <v/>
      </c>
    </row>
    <row r="2643" spans="1:8">
      <c r="A2643" s="13"/>
      <c r="B2643" s="1" t="s">
        <v>5168</v>
      </c>
      <c r="C2643" s="1" t="s">
        <v>24</v>
      </c>
      <c r="D2643" s="1" t="s">
        <v>5224</v>
      </c>
      <c r="E2643" s="1" t="s">
        <v>5225</v>
      </c>
      <c r="F2643" s="2">
        <v>231</v>
      </c>
      <c r="G2643" s="3">
        <v>54.5</v>
      </c>
      <c r="H2643" s="4" t="str">
        <f>IF(AND(A2643="Yes",C2643="School"),COUNTIFS($A$6:A2643,"Yes",$C$6:C2643,"School"),"")</f>
        <v/>
      </c>
    </row>
    <row r="2644" spans="1:8">
      <c r="A2644" s="13"/>
      <c r="B2644" s="1" t="s">
        <v>5168</v>
      </c>
      <c r="C2644" s="1" t="s">
        <v>24</v>
      </c>
      <c r="D2644" s="1" t="s">
        <v>5226</v>
      </c>
      <c r="E2644" s="1" t="s">
        <v>5227</v>
      </c>
      <c r="F2644" s="2">
        <v>189</v>
      </c>
      <c r="G2644" s="3">
        <v>77.8</v>
      </c>
      <c r="H2644" s="4" t="str">
        <f>IF(AND(A2644="Yes",C2644="School"),COUNTIFS($A$6:A2644,"Yes",$C$6:C2644,"School"),"")</f>
        <v/>
      </c>
    </row>
    <row r="2645" spans="1:8">
      <c r="A2645" s="13"/>
      <c r="B2645" s="1" t="s">
        <v>5168</v>
      </c>
      <c r="C2645" s="1" t="s">
        <v>24</v>
      </c>
      <c r="D2645" s="1" t="s">
        <v>5228</v>
      </c>
      <c r="E2645" s="1" t="s">
        <v>5229</v>
      </c>
      <c r="F2645" s="2">
        <v>506</v>
      </c>
      <c r="G2645" s="3">
        <v>30.2</v>
      </c>
      <c r="H2645" s="4" t="str">
        <f>IF(AND(A2645="Yes",C2645="School"),COUNTIFS($A$6:A2645,"Yes",$C$6:C2645,"School"),"")</f>
        <v/>
      </c>
    </row>
    <row r="2646" spans="1:8">
      <c r="A2646" s="13"/>
      <c r="B2646" s="1" t="s">
        <v>5168</v>
      </c>
      <c r="C2646" s="1" t="s">
        <v>24</v>
      </c>
      <c r="D2646" s="1" t="s">
        <v>5230</v>
      </c>
      <c r="E2646" s="1" t="s">
        <v>5231</v>
      </c>
      <c r="F2646" s="2">
        <v>261</v>
      </c>
      <c r="G2646" s="3">
        <v>29.9</v>
      </c>
      <c r="H2646" s="4" t="str">
        <f>IF(AND(A2646="Yes",C2646="School"),COUNTIFS($A$6:A2646,"Yes",$C$6:C2646,"School"),"")</f>
        <v/>
      </c>
    </row>
    <row r="2647" spans="1:8">
      <c r="A2647" s="13"/>
      <c r="B2647" s="1" t="s">
        <v>5232</v>
      </c>
      <c r="C2647" s="1" t="s">
        <v>24</v>
      </c>
      <c r="D2647" s="1" t="s">
        <v>5232</v>
      </c>
      <c r="E2647" s="1" t="s">
        <v>5233</v>
      </c>
      <c r="F2647" s="2">
        <v>737</v>
      </c>
      <c r="G2647" s="3">
        <v>62.3</v>
      </c>
      <c r="H2647" s="4" t="str">
        <f>IF(AND(A2647="Yes",C2647="School"),COUNTIFS($A$6:A2647,"Yes",$C$6:C2647,"School"),"")</f>
        <v/>
      </c>
    </row>
    <row r="2648" spans="1:8">
      <c r="A2648" s="13"/>
      <c r="B2648" s="1" t="s">
        <v>5234</v>
      </c>
      <c r="C2648" s="1" t="s">
        <v>24</v>
      </c>
      <c r="D2648" s="1" t="s">
        <v>5234</v>
      </c>
      <c r="E2648" s="1" t="s">
        <v>5235</v>
      </c>
      <c r="F2648" s="2">
        <v>393</v>
      </c>
      <c r="G2648" s="3">
        <v>56.2</v>
      </c>
      <c r="H2648" s="4" t="str">
        <f>IF(AND(A2648="Yes",C2648="School"),COUNTIFS($A$6:A2648,"Yes",$C$6:C2648,"School"),"")</f>
        <v/>
      </c>
    </row>
    <row r="2649" spans="1:8">
      <c r="A2649" s="13"/>
      <c r="B2649" s="1" t="s">
        <v>5236</v>
      </c>
      <c r="C2649" s="1" t="s">
        <v>40</v>
      </c>
      <c r="D2649" s="1" t="s">
        <v>41</v>
      </c>
      <c r="E2649" s="1" t="s">
        <v>5237</v>
      </c>
      <c r="F2649" s="2">
        <v>664</v>
      </c>
      <c r="G2649" s="3">
        <v>81.599999999999994</v>
      </c>
      <c r="H2649" s="4" t="str">
        <f>IF(AND(A2649="Yes",C2649="School"),COUNTIFS($A$6:A2649,"Yes",$C$6:C2649,"School"),"")</f>
        <v/>
      </c>
    </row>
    <row r="2650" spans="1:8">
      <c r="A2650" s="13"/>
      <c r="B2650" s="1" t="s">
        <v>5236</v>
      </c>
      <c r="C2650" s="1" t="s">
        <v>24</v>
      </c>
      <c r="D2650" s="1" t="s">
        <v>5238</v>
      </c>
      <c r="E2650" s="1" t="s">
        <v>5239</v>
      </c>
      <c r="F2650" s="2">
        <v>90</v>
      </c>
      <c r="G2650" s="3">
        <v>61.1</v>
      </c>
      <c r="H2650" s="4" t="str">
        <f>IF(AND(A2650="Yes",C2650="School"),COUNTIFS($A$6:A2650,"Yes",$C$6:C2650,"School"),"")</f>
        <v/>
      </c>
    </row>
    <row r="2651" spans="1:8">
      <c r="A2651" s="13"/>
      <c r="B2651" s="1" t="s">
        <v>5236</v>
      </c>
      <c r="C2651" s="1" t="s">
        <v>24</v>
      </c>
      <c r="D2651" s="1" t="s">
        <v>5240</v>
      </c>
      <c r="E2651" s="1" t="s">
        <v>5241</v>
      </c>
      <c r="F2651" s="2">
        <v>287</v>
      </c>
      <c r="G2651" s="3">
        <v>88.2</v>
      </c>
      <c r="H2651" s="4" t="str">
        <f>IF(AND(A2651="Yes",C2651="School"),COUNTIFS($A$6:A2651,"Yes",$C$6:C2651,"School"),"")</f>
        <v/>
      </c>
    </row>
    <row r="2652" spans="1:8">
      <c r="A2652" s="13"/>
      <c r="B2652" s="1" t="s">
        <v>5236</v>
      </c>
      <c r="C2652" s="1" t="s">
        <v>24</v>
      </c>
      <c r="D2652" s="1" t="s">
        <v>5242</v>
      </c>
      <c r="E2652" s="1" t="s">
        <v>5243</v>
      </c>
      <c r="F2652" s="2">
        <v>142</v>
      </c>
      <c r="G2652" s="3">
        <v>81.7</v>
      </c>
      <c r="H2652" s="4" t="str">
        <f>IF(AND(A2652="Yes",C2652="School"),COUNTIFS($A$6:A2652,"Yes",$C$6:C2652,"School"),"")</f>
        <v/>
      </c>
    </row>
    <row r="2653" spans="1:8">
      <c r="A2653" s="13"/>
      <c r="B2653" s="1" t="s">
        <v>5236</v>
      </c>
      <c r="C2653" s="1" t="s">
        <v>24</v>
      </c>
      <c r="D2653" s="1" t="s">
        <v>5244</v>
      </c>
      <c r="E2653" s="1" t="s">
        <v>5245</v>
      </c>
      <c r="F2653" s="2">
        <v>145</v>
      </c>
      <c r="G2653" s="3">
        <v>81.400000000000006</v>
      </c>
      <c r="H2653" s="4" t="str">
        <f>IF(AND(A2653="Yes",C2653="School"),COUNTIFS($A$6:A2653,"Yes",$C$6:C2653,"School"),"")</f>
        <v/>
      </c>
    </row>
    <row r="2654" spans="1:8">
      <c r="A2654" s="13"/>
      <c r="B2654" s="1" t="s">
        <v>5246</v>
      </c>
      <c r="C2654" s="1" t="s">
        <v>24</v>
      </c>
      <c r="D2654" s="1" t="s">
        <v>5246</v>
      </c>
      <c r="E2654" s="1" t="s">
        <v>5247</v>
      </c>
      <c r="F2654" s="2">
        <v>275</v>
      </c>
      <c r="G2654" s="3">
        <v>59.6</v>
      </c>
      <c r="H2654" s="4" t="str">
        <f>IF(AND(A2654="Yes",C2654="School"),COUNTIFS($A$6:A2654,"Yes",$C$6:C2654,"School"),"")</f>
        <v/>
      </c>
    </row>
    <row r="2655" spans="1:8">
      <c r="A2655" s="13"/>
      <c r="B2655" s="1" t="s">
        <v>5248</v>
      </c>
      <c r="C2655" s="1" t="s">
        <v>40</v>
      </c>
      <c r="D2655" s="1" t="s">
        <v>41</v>
      </c>
      <c r="E2655" s="1" t="s">
        <v>5249</v>
      </c>
      <c r="F2655" s="2">
        <v>1983</v>
      </c>
      <c r="G2655" s="3">
        <v>67.2</v>
      </c>
      <c r="H2655" s="4" t="str">
        <f>IF(AND(A2655="Yes",C2655="School"),COUNTIFS($A$6:A2655,"Yes",$C$6:C2655,"School"),"")</f>
        <v/>
      </c>
    </row>
    <row r="2656" spans="1:8">
      <c r="A2656" s="13"/>
      <c r="B2656" s="1" t="s">
        <v>5248</v>
      </c>
      <c r="C2656" s="1" t="s">
        <v>24</v>
      </c>
      <c r="D2656" s="1" t="s">
        <v>4437</v>
      </c>
      <c r="E2656" s="1" t="s">
        <v>5250</v>
      </c>
      <c r="F2656" s="2">
        <v>439</v>
      </c>
      <c r="G2656" s="3">
        <v>67.900000000000006</v>
      </c>
      <c r="H2656" s="4" t="str">
        <f>IF(AND(A2656="Yes",C2656="School"),COUNTIFS($A$6:A2656,"Yes",$C$6:C2656,"School"),"")</f>
        <v/>
      </c>
    </row>
    <row r="2657" spans="1:8">
      <c r="A2657" s="13"/>
      <c r="B2657" s="1" t="s">
        <v>5248</v>
      </c>
      <c r="C2657" s="1" t="s">
        <v>24</v>
      </c>
      <c r="D2657" s="1" t="s">
        <v>5251</v>
      </c>
      <c r="E2657" s="1" t="s">
        <v>5252</v>
      </c>
      <c r="F2657" s="2">
        <v>440</v>
      </c>
      <c r="G2657" s="3">
        <v>67.7</v>
      </c>
      <c r="H2657" s="4" t="str">
        <f>IF(AND(A2657="Yes",C2657="School"),COUNTIFS($A$6:A2657,"Yes",$C$6:C2657,"School"),"")</f>
        <v/>
      </c>
    </row>
    <row r="2658" spans="1:8">
      <c r="A2658" s="13"/>
      <c r="B2658" s="1" t="s">
        <v>5248</v>
      </c>
      <c r="C2658" s="1" t="s">
        <v>24</v>
      </c>
      <c r="D2658" s="1" t="s">
        <v>5253</v>
      </c>
      <c r="E2658" s="1" t="s">
        <v>5254</v>
      </c>
      <c r="F2658" s="2">
        <v>33</v>
      </c>
      <c r="G2658" s="3">
        <v>90.9</v>
      </c>
      <c r="H2658" s="4" t="str">
        <f>IF(AND(A2658="Yes",C2658="School"),COUNTIFS($A$6:A2658,"Yes",$C$6:C2658,"School"),"")</f>
        <v/>
      </c>
    </row>
    <row r="2659" spans="1:8">
      <c r="A2659" s="13"/>
      <c r="B2659" s="1" t="s">
        <v>5248</v>
      </c>
      <c r="C2659" s="1" t="s">
        <v>24</v>
      </c>
      <c r="D2659" s="1" t="s">
        <v>5255</v>
      </c>
      <c r="E2659" s="1" t="s">
        <v>5256</v>
      </c>
      <c r="F2659" s="2">
        <v>576</v>
      </c>
      <c r="G2659" s="3">
        <v>56.4</v>
      </c>
      <c r="H2659" s="4" t="str">
        <f>IF(AND(A2659="Yes",C2659="School"),COUNTIFS($A$6:A2659,"Yes",$C$6:C2659,"School"),"")</f>
        <v/>
      </c>
    </row>
    <row r="2660" spans="1:8">
      <c r="A2660" s="13"/>
      <c r="B2660" s="1" t="s">
        <v>5248</v>
      </c>
      <c r="C2660" s="1" t="s">
        <v>24</v>
      </c>
      <c r="D2660" s="1" t="s">
        <v>5257</v>
      </c>
      <c r="E2660" s="1" t="s">
        <v>5258</v>
      </c>
      <c r="F2660" s="2">
        <v>495</v>
      </c>
      <c r="G2660" s="3">
        <v>77.2</v>
      </c>
      <c r="H2660" s="4" t="str">
        <f>IF(AND(A2660="Yes",C2660="School"),COUNTIFS($A$6:A2660,"Yes",$C$6:C2660,"School"),"")</f>
        <v/>
      </c>
    </row>
    <row r="2661" spans="1:8">
      <c r="A2661" s="13"/>
      <c r="B2661" s="1" t="s">
        <v>5259</v>
      </c>
      <c r="C2661" s="1" t="s">
        <v>40</v>
      </c>
      <c r="D2661" s="1" t="s">
        <v>41</v>
      </c>
      <c r="E2661" s="1" t="s">
        <v>5260</v>
      </c>
      <c r="F2661" s="2">
        <v>8040</v>
      </c>
      <c r="G2661" s="3">
        <v>52.2</v>
      </c>
      <c r="H2661" s="4" t="str">
        <f>IF(AND(A2661="Yes",C2661="School"),COUNTIFS($A$6:A2661,"Yes",$C$6:C2661,"School"),"")</f>
        <v/>
      </c>
    </row>
    <row r="2662" spans="1:8">
      <c r="A2662" s="13"/>
      <c r="B2662" s="1" t="s">
        <v>5259</v>
      </c>
      <c r="C2662" s="1" t="s">
        <v>24</v>
      </c>
      <c r="D2662" s="1" t="s">
        <v>5261</v>
      </c>
      <c r="E2662" s="1" t="s">
        <v>5262</v>
      </c>
      <c r="F2662" s="2">
        <v>104</v>
      </c>
      <c r="G2662" s="3">
        <v>79.8</v>
      </c>
      <c r="H2662" s="4" t="str">
        <f>IF(AND(A2662="Yes",C2662="School"),COUNTIFS($A$6:A2662,"Yes",$C$6:C2662,"School"),"")</f>
        <v/>
      </c>
    </row>
    <row r="2663" spans="1:8">
      <c r="A2663" s="13"/>
      <c r="B2663" s="1" t="s">
        <v>5259</v>
      </c>
      <c r="C2663" s="1" t="s">
        <v>24</v>
      </c>
      <c r="D2663" s="1" t="s">
        <v>5263</v>
      </c>
      <c r="E2663" s="1" t="s">
        <v>5264</v>
      </c>
      <c r="F2663" s="2">
        <v>236</v>
      </c>
      <c r="G2663" s="3">
        <v>52.5</v>
      </c>
      <c r="H2663" s="4" t="str">
        <f>IF(AND(A2663="Yes",C2663="School"),COUNTIFS($A$6:A2663,"Yes",$C$6:C2663,"School"),"")</f>
        <v/>
      </c>
    </row>
    <row r="2664" spans="1:8">
      <c r="A2664" s="13"/>
      <c r="B2664" s="1" t="s">
        <v>5259</v>
      </c>
      <c r="C2664" s="1" t="s">
        <v>24</v>
      </c>
      <c r="D2664" s="1" t="s">
        <v>5265</v>
      </c>
      <c r="E2664" s="1" t="s">
        <v>5266</v>
      </c>
      <c r="F2664" s="2">
        <v>291</v>
      </c>
      <c r="G2664" s="3">
        <v>67.7</v>
      </c>
      <c r="H2664" s="4" t="str">
        <f>IF(AND(A2664="Yes",C2664="School"),COUNTIFS($A$6:A2664,"Yes",$C$6:C2664,"School"),"")</f>
        <v/>
      </c>
    </row>
    <row r="2665" spans="1:8">
      <c r="A2665" s="13"/>
      <c r="B2665" s="1" t="s">
        <v>5259</v>
      </c>
      <c r="C2665" s="1" t="s">
        <v>24</v>
      </c>
      <c r="D2665" s="1" t="s">
        <v>5267</v>
      </c>
      <c r="E2665" s="1" t="s">
        <v>5268</v>
      </c>
      <c r="F2665" s="2">
        <v>577</v>
      </c>
      <c r="G2665" s="3">
        <v>51.6</v>
      </c>
      <c r="H2665" s="4" t="str">
        <f>IF(AND(A2665="Yes",C2665="School"),COUNTIFS($A$6:A2665,"Yes",$C$6:C2665,"School"),"")</f>
        <v/>
      </c>
    </row>
    <row r="2666" spans="1:8">
      <c r="A2666" s="13"/>
      <c r="B2666" s="1" t="s">
        <v>5259</v>
      </c>
      <c r="C2666" s="1" t="s">
        <v>24</v>
      </c>
      <c r="D2666" s="1" t="s">
        <v>5269</v>
      </c>
      <c r="E2666" s="1" t="s">
        <v>5270</v>
      </c>
      <c r="F2666" s="2">
        <v>438</v>
      </c>
      <c r="G2666" s="3">
        <v>40.200000000000003</v>
      </c>
      <c r="H2666" s="4" t="str">
        <f>IF(AND(A2666="Yes",C2666="School"),COUNTIFS($A$6:A2666,"Yes",$C$6:C2666,"School"),"")</f>
        <v/>
      </c>
    </row>
    <row r="2667" spans="1:8">
      <c r="A2667" s="13"/>
      <c r="B2667" s="1" t="s">
        <v>5259</v>
      </c>
      <c r="C2667" s="1" t="s">
        <v>24</v>
      </c>
      <c r="D2667" s="1" t="s">
        <v>5271</v>
      </c>
      <c r="E2667" s="1" t="s">
        <v>5272</v>
      </c>
      <c r="F2667" s="2">
        <v>342</v>
      </c>
      <c r="G2667" s="3">
        <v>46.5</v>
      </c>
      <c r="H2667" s="4" t="str">
        <f>IF(AND(A2667="Yes",C2667="School"),COUNTIFS($A$6:A2667,"Yes",$C$6:C2667,"School"),"")</f>
        <v/>
      </c>
    </row>
    <row r="2668" spans="1:8">
      <c r="A2668" s="13"/>
      <c r="B2668" s="1" t="s">
        <v>5259</v>
      </c>
      <c r="C2668" s="1" t="s">
        <v>24</v>
      </c>
      <c r="D2668" s="1" t="s">
        <v>5273</v>
      </c>
      <c r="E2668" s="1" t="s">
        <v>5274</v>
      </c>
      <c r="F2668" s="2">
        <v>683</v>
      </c>
      <c r="G2668" s="3">
        <v>54.6</v>
      </c>
      <c r="H2668" s="4" t="str">
        <f>IF(AND(A2668="Yes",C2668="School"),COUNTIFS($A$6:A2668,"Yes",$C$6:C2668,"School"),"")</f>
        <v/>
      </c>
    </row>
    <row r="2669" spans="1:8">
      <c r="A2669" s="13"/>
      <c r="B2669" s="1" t="s">
        <v>5259</v>
      </c>
      <c r="C2669" s="1" t="s">
        <v>24</v>
      </c>
      <c r="D2669" s="1" t="s">
        <v>5275</v>
      </c>
      <c r="E2669" s="1" t="s">
        <v>5276</v>
      </c>
      <c r="F2669" s="2">
        <v>246</v>
      </c>
      <c r="G2669" s="3">
        <v>49.2</v>
      </c>
      <c r="H2669" s="4" t="str">
        <f>IF(AND(A2669="Yes",C2669="School"),COUNTIFS($A$6:A2669,"Yes",$C$6:C2669,"School"),"")</f>
        <v/>
      </c>
    </row>
    <row r="2670" spans="1:8">
      <c r="A2670" s="13"/>
      <c r="B2670" s="1" t="s">
        <v>5259</v>
      </c>
      <c r="C2670" s="1" t="s">
        <v>24</v>
      </c>
      <c r="D2670" s="1" t="s">
        <v>5277</v>
      </c>
      <c r="E2670" s="1" t="s">
        <v>5278</v>
      </c>
      <c r="F2670" s="2">
        <v>232</v>
      </c>
      <c r="G2670" s="3">
        <v>47.8</v>
      </c>
      <c r="H2670" s="4" t="str">
        <f>IF(AND(A2670="Yes",C2670="School"),COUNTIFS($A$6:A2670,"Yes",$C$6:C2670,"School"),"")</f>
        <v/>
      </c>
    </row>
    <row r="2671" spans="1:8">
      <c r="A2671" s="13"/>
      <c r="B2671" s="1" t="s">
        <v>5259</v>
      </c>
      <c r="C2671" s="1" t="s">
        <v>24</v>
      </c>
      <c r="D2671" s="1" t="s">
        <v>5279</v>
      </c>
      <c r="E2671" s="1" t="s">
        <v>5280</v>
      </c>
      <c r="F2671" s="2">
        <v>468</v>
      </c>
      <c r="G2671" s="3">
        <v>57.1</v>
      </c>
      <c r="H2671" s="4" t="str">
        <f>IF(AND(A2671="Yes",C2671="School"),COUNTIFS($A$6:A2671,"Yes",$C$6:C2671,"School"),"")</f>
        <v/>
      </c>
    </row>
    <row r="2672" spans="1:8">
      <c r="A2672" s="13"/>
      <c r="B2672" s="1" t="s">
        <v>5259</v>
      </c>
      <c r="C2672" s="1" t="s">
        <v>24</v>
      </c>
      <c r="D2672" s="1" t="s">
        <v>5281</v>
      </c>
      <c r="E2672" s="1" t="s">
        <v>5282</v>
      </c>
      <c r="F2672" s="2">
        <v>413</v>
      </c>
      <c r="G2672" s="3">
        <v>63.9</v>
      </c>
      <c r="H2672" s="4" t="str">
        <f>IF(AND(A2672="Yes",C2672="School"),COUNTIFS($A$6:A2672,"Yes",$C$6:C2672,"School"),"")</f>
        <v/>
      </c>
    </row>
    <row r="2673" spans="1:8">
      <c r="A2673" s="13"/>
      <c r="B2673" s="1" t="s">
        <v>5259</v>
      </c>
      <c r="C2673" s="1" t="s">
        <v>24</v>
      </c>
      <c r="D2673" s="1" t="s">
        <v>5283</v>
      </c>
      <c r="E2673" s="1" t="s">
        <v>5284</v>
      </c>
      <c r="F2673" s="2">
        <v>497</v>
      </c>
      <c r="G2673" s="3">
        <v>47.5</v>
      </c>
      <c r="H2673" s="4" t="str">
        <f>IF(AND(A2673="Yes",C2673="School"),COUNTIFS($A$6:A2673,"Yes",$C$6:C2673,"School"),"")</f>
        <v/>
      </c>
    </row>
    <row r="2674" spans="1:8">
      <c r="A2674" s="13"/>
      <c r="B2674" s="1" t="s">
        <v>5259</v>
      </c>
      <c r="C2674" s="1" t="s">
        <v>24</v>
      </c>
      <c r="D2674" s="1" t="s">
        <v>5285</v>
      </c>
      <c r="E2674" s="1" t="s">
        <v>5286</v>
      </c>
      <c r="F2674" s="2">
        <v>466</v>
      </c>
      <c r="G2674" s="3">
        <v>53.2</v>
      </c>
      <c r="H2674" s="4" t="str">
        <f>IF(AND(A2674="Yes",C2674="School"),COUNTIFS($A$6:A2674,"Yes",$C$6:C2674,"School"),"")</f>
        <v/>
      </c>
    </row>
    <row r="2675" spans="1:8">
      <c r="A2675" s="13"/>
      <c r="B2675" s="1" t="s">
        <v>5259</v>
      </c>
      <c r="C2675" s="1" t="s">
        <v>24</v>
      </c>
      <c r="D2675" s="1" t="s">
        <v>5287</v>
      </c>
      <c r="E2675" s="1" t="s">
        <v>5288</v>
      </c>
      <c r="F2675" s="2">
        <v>308</v>
      </c>
      <c r="G2675" s="3">
        <v>78.2</v>
      </c>
      <c r="H2675" s="4" t="str">
        <f>IF(AND(A2675="Yes",C2675="School"),COUNTIFS($A$6:A2675,"Yes",$C$6:C2675,"School"),"")</f>
        <v/>
      </c>
    </row>
    <row r="2676" spans="1:8">
      <c r="A2676" s="13"/>
      <c r="B2676" s="1" t="s">
        <v>5259</v>
      </c>
      <c r="C2676" s="1" t="s">
        <v>24</v>
      </c>
      <c r="D2676" s="1" t="s">
        <v>5289</v>
      </c>
      <c r="E2676" s="1" t="s">
        <v>5290</v>
      </c>
      <c r="F2676" s="2">
        <v>194</v>
      </c>
      <c r="G2676" s="3">
        <v>53.6</v>
      </c>
      <c r="H2676" s="4" t="str">
        <f>IF(AND(A2676="Yes",C2676="School"),COUNTIFS($A$6:A2676,"Yes",$C$6:C2676,"School"),"")</f>
        <v/>
      </c>
    </row>
    <row r="2677" spans="1:8">
      <c r="A2677" s="13"/>
      <c r="B2677" s="1" t="s">
        <v>5259</v>
      </c>
      <c r="C2677" s="1" t="s">
        <v>24</v>
      </c>
      <c r="D2677" s="1" t="s">
        <v>5291</v>
      </c>
      <c r="E2677" s="1" t="s">
        <v>5292</v>
      </c>
      <c r="F2677" s="2">
        <v>274</v>
      </c>
      <c r="G2677" s="3">
        <v>51.1</v>
      </c>
      <c r="H2677" s="4" t="str">
        <f>IF(AND(A2677="Yes",C2677="School"),COUNTIFS($A$6:A2677,"Yes",$C$6:C2677,"School"),"")</f>
        <v/>
      </c>
    </row>
    <row r="2678" spans="1:8">
      <c r="A2678" s="13"/>
      <c r="B2678" s="1" t="s">
        <v>5259</v>
      </c>
      <c r="C2678" s="1" t="s">
        <v>24</v>
      </c>
      <c r="D2678" s="1" t="s">
        <v>5293</v>
      </c>
      <c r="E2678" s="1" t="s">
        <v>5294</v>
      </c>
      <c r="F2678" s="2">
        <v>76</v>
      </c>
      <c r="G2678" s="3">
        <v>75</v>
      </c>
      <c r="H2678" s="4" t="str">
        <f>IF(AND(A2678="Yes",C2678="School"),COUNTIFS($A$6:A2678,"Yes",$C$6:C2678,"School"),"")</f>
        <v/>
      </c>
    </row>
    <row r="2679" spans="1:8">
      <c r="A2679" s="13"/>
      <c r="B2679" s="1" t="s">
        <v>5259</v>
      </c>
      <c r="C2679" s="1" t="s">
        <v>24</v>
      </c>
      <c r="D2679" s="1" t="s">
        <v>5295</v>
      </c>
      <c r="E2679" s="1" t="s">
        <v>5296</v>
      </c>
      <c r="F2679" s="2">
        <v>523</v>
      </c>
      <c r="G2679" s="3">
        <v>42.3</v>
      </c>
      <c r="H2679" s="4" t="str">
        <f>IF(AND(A2679="Yes",C2679="School"),COUNTIFS($A$6:A2679,"Yes",$C$6:C2679,"School"),"")</f>
        <v/>
      </c>
    </row>
    <row r="2680" spans="1:8">
      <c r="A2680" s="13"/>
      <c r="B2680" s="1" t="s">
        <v>5259</v>
      </c>
      <c r="C2680" s="1" t="s">
        <v>24</v>
      </c>
      <c r="D2680" s="1" t="s">
        <v>5297</v>
      </c>
      <c r="E2680" s="1" t="s">
        <v>5298</v>
      </c>
      <c r="F2680" s="2">
        <v>445</v>
      </c>
      <c r="G2680" s="3">
        <v>47.4</v>
      </c>
      <c r="H2680" s="4" t="str">
        <f>IF(AND(A2680="Yes",C2680="School"),COUNTIFS($A$6:A2680,"Yes",$C$6:C2680,"School"),"")</f>
        <v/>
      </c>
    </row>
    <row r="2681" spans="1:8">
      <c r="A2681" s="13"/>
      <c r="B2681" s="1" t="s">
        <v>5259</v>
      </c>
      <c r="C2681" s="1" t="s">
        <v>24</v>
      </c>
      <c r="D2681" s="1" t="s">
        <v>5299</v>
      </c>
      <c r="E2681" s="1" t="s">
        <v>5300</v>
      </c>
      <c r="F2681" s="2">
        <v>599</v>
      </c>
      <c r="G2681" s="3">
        <v>51.4</v>
      </c>
      <c r="H2681" s="4" t="str">
        <f>IF(AND(A2681="Yes",C2681="School"),COUNTIFS($A$6:A2681,"Yes",$C$6:C2681,"School"),"")</f>
        <v/>
      </c>
    </row>
    <row r="2682" spans="1:8">
      <c r="A2682" s="13"/>
      <c r="B2682" s="1" t="s">
        <v>5259</v>
      </c>
      <c r="C2682" s="1" t="s">
        <v>24</v>
      </c>
      <c r="D2682" s="1" t="s">
        <v>5301</v>
      </c>
      <c r="E2682" s="1" t="s">
        <v>5302</v>
      </c>
      <c r="F2682" s="2">
        <v>252</v>
      </c>
      <c r="G2682" s="3">
        <v>28.2</v>
      </c>
      <c r="H2682" s="4" t="str">
        <f>IF(AND(A2682="Yes",C2682="School"),COUNTIFS($A$6:A2682,"Yes",$C$6:C2682,"School"),"")</f>
        <v/>
      </c>
    </row>
    <row r="2683" spans="1:8">
      <c r="A2683" s="13"/>
      <c r="B2683" s="1" t="s">
        <v>5259</v>
      </c>
      <c r="C2683" s="1" t="s">
        <v>24</v>
      </c>
      <c r="D2683" s="1" t="s">
        <v>5303</v>
      </c>
      <c r="E2683" s="1" t="s">
        <v>5304</v>
      </c>
      <c r="F2683" s="2">
        <v>376</v>
      </c>
      <c r="G2683" s="3">
        <v>50.5</v>
      </c>
      <c r="H2683" s="4" t="str">
        <f>IF(AND(A2683="Yes",C2683="School"),COUNTIFS($A$6:A2683,"Yes",$C$6:C2683,"School"),"")</f>
        <v/>
      </c>
    </row>
    <row r="2684" spans="1:8">
      <c r="A2684" s="13"/>
      <c r="B2684" s="1" t="s">
        <v>5305</v>
      </c>
      <c r="C2684" s="1" t="s">
        <v>24</v>
      </c>
      <c r="D2684" s="1" t="s">
        <v>5305</v>
      </c>
      <c r="E2684" s="1" t="s">
        <v>5306</v>
      </c>
      <c r="F2684" s="2">
        <v>273</v>
      </c>
      <c r="G2684" s="3">
        <v>16.5</v>
      </c>
      <c r="H2684" s="4" t="str">
        <f>IF(AND(A2684="Yes",C2684="School"),COUNTIFS($A$6:A2684,"Yes",$C$6:C2684,"School"),"")</f>
        <v/>
      </c>
    </row>
    <row r="2685" spans="1:8">
      <c r="A2685" s="13"/>
      <c r="B2685" s="1" t="s">
        <v>5307</v>
      </c>
      <c r="C2685" s="1" t="s">
        <v>24</v>
      </c>
      <c r="D2685" s="1" t="s">
        <v>5307</v>
      </c>
      <c r="E2685" s="1" t="s">
        <v>5308</v>
      </c>
      <c r="F2685" s="2">
        <v>107</v>
      </c>
      <c r="G2685" s="3">
        <v>83.2</v>
      </c>
      <c r="H2685" s="4" t="str">
        <f>IF(AND(A2685="Yes",C2685="School"),COUNTIFS($A$6:A2685,"Yes",$C$6:C2685,"School"),"")</f>
        <v/>
      </c>
    </row>
    <row r="2686" spans="1:8">
      <c r="A2686" s="13"/>
      <c r="B2686" s="1" t="s">
        <v>5309</v>
      </c>
      <c r="C2686" s="1" t="s">
        <v>24</v>
      </c>
      <c r="D2686" s="1" t="s">
        <v>5309</v>
      </c>
      <c r="E2686" s="1" t="s">
        <v>5310</v>
      </c>
      <c r="F2686" s="2">
        <v>332</v>
      </c>
      <c r="G2686" s="3">
        <v>60.8</v>
      </c>
      <c r="H2686" s="4" t="str">
        <f>IF(AND(A2686="Yes",C2686="School"),COUNTIFS($A$6:A2686,"Yes",$C$6:C2686,"School"),"")</f>
        <v/>
      </c>
    </row>
    <row r="2687" spans="1:8">
      <c r="A2687" s="13"/>
      <c r="B2687" s="1" t="s">
        <v>5311</v>
      </c>
      <c r="C2687" s="1" t="s">
        <v>40</v>
      </c>
      <c r="D2687" s="1" t="s">
        <v>41</v>
      </c>
      <c r="E2687" s="1" t="s">
        <v>5312</v>
      </c>
      <c r="F2687" s="2">
        <v>10247</v>
      </c>
      <c r="G2687" s="3">
        <v>58.6</v>
      </c>
      <c r="H2687" s="4" t="str">
        <f>IF(AND(A2687="Yes",C2687="School"),COUNTIFS($A$6:A2687,"Yes",$C$6:C2687,"School"),"")</f>
        <v/>
      </c>
    </row>
    <row r="2688" spans="1:8">
      <c r="A2688" s="13"/>
      <c r="B2688" s="1" t="s">
        <v>5311</v>
      </c>
      <c r="C2688" s="1" t="s">
        <v>24</v>
      </c>
      <c r="D2688" s="1" t="s">
        <v>5313</v>
      </c>
      <c r="E2688" s="1" t="s">
        <v>5314</v>
      </c>
      <c r="F2688" s="2">
        <v>259</v>
      </c>
      <c r="G2688" s="3">
        <v>88</v>
      </c>
      <c r="H2688" s="4" t="str">
        <f>IF(AND(A2688="Yes",C2688="School"),COUNTIFS($A$6:A2688,"Yes",$C$6:C2688,"School"),"")</f>
        <v/>
      </c>
    </row>
    <row r="2689" spans="1:8">
      <c r="A2689" s="13"/>
      <c r="B2689" s="1" t="s">
        <v>5311</v>
      </c>
      <c r="C2689" s="1" t="s">
        <v>24</v>
      </c>
      <c r="D2689" s="1" t="s">
        <v>5315</v>
      </c>
      <c r="E2689" s="1" t="s">
        <v>5316</v>
      </c>
      <c r="F2689" s="2">
        <v>576</v>
      </c>
      <c r="G2689" s="3">
        <v>58</v>
      </c>
      <c r="H2689" s="4" t="str">
        <f>IF(AND(A2689="Yes",C2689="School"),COUNTIFS($A$6:A2689,"Yes",$C$6:C2689,"School"),"")</f>
        <v/>
      </c>
    </row>
    <row r="2690" spans="1:8">
      <c r="A2690" s="13"/>
      <c r="B2690" s="1" t="s">
        <v>5311</v>
      </c>
      <c r="C2690" s="1" t="s">
        <v>24</v>
      </c>
      <c r="D2690" s="1" t="s">
        <v>5317</v>
      </c>
      <c r="E2690" s="1" t="s">
        <v>5318</v>
      </c>
      <c r="F2690" s="2">
        <v>358</v>
      </c>
      <c r="G2690" s="3">
        <v>79.3</v>
      </c>
      <c r="H2690" s="4" t="str">
        <f>IF(AND(A2690="Yes",C2690="School"),COUNTIFS($A$6:A2690,"Yes",$C$6:C2690,"School"),"")</f>
        <v/>
      </c>
    </row>
    <row r="2691" spans="1:8">
      <c r="A2691" s="13"/>
      <c r="B2691" s="1" t="s">
        <v>5311</v>
      </c>
      <c r="C2691" s="1" t="s">
        <v>24</v>
      </c>
      <c r="D2691" s="1" t="s">
        <v>5319</v>
      </c>
      <c r="E2691" s="1" t="s">
        <v>5320</v>
      </c>
      <c r="F2691" s="2">
        <v>423</v>
      </c>
      <c r="G2691" s="3">
        <v>48.7</v>
      </c>
      <c r="H2691" s="4" t="str">
        <f>IF(AND(A2691="Yes",C2691="School"),COUNTIFS($A$6:A2691,"Yes",$C$6:C2691,"School"),"")</f>
        <v/>
      </c>
    </row>
    <row r="2692" spans="1:8">
      <c r="A2692" s="13"/>
      <c r="B2692" s="1" t="s">
        <v>5311</v>
      </c>
      <c r="C2692" s="1" t="s">
        <v>24</v>
      </c>
      <c r="D2692" s="1" t="s">
        <v>5321</v>
      </c>
      <c r="E2692" s="1" t="s">
        <v>5322</v>
      </c>
      <c r="F2692" s="2">
        <v>910</v>
      </c>
      <c r="G2692" s="3">
        <v>53.2</v>
      </c>
      <c r="H2692" s="4" t="str">
        <f>IF(AND(A2692="Yes",C2692="School"),COUNTIFS($A$6:A2692,"Yes",$C$6:C2692,"School"),"")</f>
        <v/>
      </c>
    </row>
    <row r="2693" spans="1:8">
      <c r="A2693" s="13"/>
      <c r="B2693" s="1" t="s">
        <v>5311</v>
      </c>
      <c r="C2693" s="1" t="s">
        <v>24</v>
      </c>
      <c r="D2693" s="1" t="s">
        <v>5323</v>
      </c>
      <c r="E2693" s="1" t="s">
        <v>5324</v>
      </c>
      <c r="F2693" s="2">
        <v>581</v>
      </c>
      <c r="G2693" s="3">
        <v>65.2</v>
      </c>
      <c r="H2693" s="4" t="str">
        <f>IF(AND(A2693="Yes",C2693="School"),COUNTIFS($A$6:A2693,"Yes",$C$6:C2693,"School"),"")</f>
        <v/>
      </c>
    </row>
    <row r="2694" spans="1:8">
      <c r="A2694" s="13"/>
      <c r="B2694" s="1" t="s">
        <v>5311</v>
      </c>
      <c r="C2694" s="1" t="s">
        <v>24</v>
      </c>
      <c r="D2694" s="1" t="s">
        <v>5325</v>
      </c>
      <c r="E2694" s="1" t="s">
        <v>5326</v>
      </c>
      <c r="F2694" s="2">
        <v>366</v>
      </c>
      <c r="G2694" s="3">
        <v>59.6</v>
      </c>
      <c r="H2694" s="4" t="str">
        <f>IF(AND(A2694="Yes",C2694="School"),COUNTIFS($A$6:A2694,"Yes",$C$6:C2694,"School"),"")</f>
        <v/>
      </c>
    </row>
    <row r="2695" spans="1:8">
      <c r="A2695" s="13"/>
      <c r="B2695" s="1" t="s">
        <v>5311</v>
      </c>
      <c r="C2695" s="1" t="s">
        <v>24</v>
      </c>
      <c r="D2695" s="1" t="s">
        <v>5327</v>
      </c>
      <c r="E2695" s="1" t="s">
        <v>5328</v>
      </c>
      <c r="F2695" s="2">
        <v>278</v>
      </c>
      <c r="G2695" s="3">
        <v>59</v>
      </c>
      <c r="H2695" s="4" t="str">
        <f>IF(AND(A2695="Yes",C2695="School"),COUNTIFS($A$6:A2695,"Yes",$C$6:C2695,"School"),"")</f>
        <v/>
      </c>
    </row>
    <row r="2696" spans="1:8">
      <c r="A2696" s="13"/>
      <c r="B2696" s="1" t="s">
        <v>5311</v>
      </c>
      <c r="C2696" s="1" t="s">
        <v>24</v>
      </c>
      <c r="D2696" s="1" t="s">
        <v>5329</v>
      </c>
      <c r="E2696" s="1" t="s">
        <v>5330</v>
      </c>
      <c r="F2696" s="2">
        <v>1099</v>
      </c>
      <c r="G2696" s="3">
        <v>50</v>
      </c>
      <c r="H2696" s="4" t="str">
        <f>IF(AND(A2696="Yes",C2696="School"),COUNTIFS($A$6:A2696,"Yes",$C$6:C2696,"School"),"")</f>
        <v/>
      </c>
    </row>
    <row r="2697" spans="1:8">
      <c r="A2697" s="13"/>
      <c r="B2697" s="1" t="s">
        <v>5311</v>
      </c>
      <c r="C2697" s="1" t="s">
        <v>24</v>
      </c>
      <c r="D2697" s="1" t="s">
        <v>5331</v>
      </c>
      <c r="E2697" s="1" t="s">
        <v>5332</v>
      </c>
      <c r="F2697" s="2">
        <v>596</v>
      </c>
      <c r="G2697" s="3">
        <v>65.099999999999994</v>
      </c>
      <c r="H2697" s="4" t="str">
        <f>IF(AND(A2697="Yes",C2697="School"),COUNTIFS($A$6:A2697,"Yes",$C$6:C2697,"School"),"")</f>
        <v/>
      </c>
    </row>
    <row r="2698" spans="1:8">
      <c r="A2698" s="13"/>
      <c r="B2698" s="1" t="s">
        <v>5311</v>
      </c>
      <c r="C2698" s="1" t="s">
        <v>24</v>
      </c>
      <c r="D2698" s="1" t="s">
        <v>5333</v>
      </c>
      <c r="E2698" s="1" t="s">
        <v>5334</v>
      </c>
      <c r="F2698" s="2">
        <v>148</v>
      </c>
      <c r="G2698" s="3">
        <v>60.8</v>
      </c>
      <c r="H2698" s="4" t="str">
        <f>IF(AND(A2698="Yes",C2698="School"),COUNTIFS($A$6:A2698,"Yes",$C$6:C2698,"School"),"")</f>
        <v/>
      </c>
    </row>
    <row r="2699" spans="1:8">
      <c r="A2699" s="13"/>
      <c r="B2699" s="1" t="s">
        <v>5311</v>
      </c>
      <c r="C2699" s="1" t="s">
        <v>24</v>
      </c>
      <c r="D2699" s="1" t="s">
        <v>5335</v>
      </c>
      <c r="E2699" s="1" t="s">
        <v>5336</v>
      </c>
      <c r="F2699" s="2">
        <v>456</v>
      </c>
      <c r="G2699" s="3">
        <v>63.2</v>
      </c>
      <c r="H2699" s="4" t="str">
        <f>IF(AND(A2699="Yes",C2699="School"),COUNTIFS($A$6:A2699,"Yes",$C$6:C2699,"School"),"")</f>
        <v/>
      </c>
    </row>
    <row r="2700" spans="1:8">
      <c r="A2700" s="13"/>
      <c r="B2700" s="1" t="s">
        <v>5311</v>
      </c>
      <c r="C2700" s="1" t="s">
        <v>24</v>
      </c>
      <c r="D2700" s="1" t="s">
        <v>5337</v>
      </c>
      <c r="E2700" s="1" t="s">
        <v>5338</v>
      </c>
      <c r="F2700" s="2">
        <v>430</v>
      </c>
      <c r="G2700" s="3">
        <v>78.400000000000006</v>
      </c>
      <c r="H2700" s="4" t="str">
        <f>IF(AND(A2700="Yes",C2700="School"),COUNTIFS($A$6:A2700,"Yes",$C$6:C2700,"School"),"")</f>
        <v/>
      </c>
    </row>
    <row r="2701" spans="1:8">
      <c r="A2701" s="13"/>
      <c r="B2701" s="1" t="s">
        <v>5311</v>
      </c>
      <c r="C2701" s="1" t="s">
        <v>24</v>
      </c>
      <c r="D2701" s="1" t="s">
        <v>5339</v>
      </c>
      <c r="E2701" s="1" t="s">
        <v>5340</v>
      </c>
      <c r="F2701" s="2">
        <v>69</v>
      </c>
      <c r="G2701" s="3">
        <v>85.5</v>
      </c>
      <c r="H2701" s="4" t="str">
        <f>IF(AND(A2701="Yes",C2701="School"),COUNTIFS($A$6:A2701,"Yes",$C$6:C2701,"School"),"")</f>
        <v/>
      </c>
    </row>
    <row r="2702" spans="1:8">
      <c r="A2702" s="13"/>
      <c r="B2702" s="1" t="s">
        <v>5311</v>
      </c>
      <c r="C2702" s="1" t="s">
        <v>24</v>
      </c>
      <c r="D2702" s="1" t="s">
        <v>2182</v>
      </c>
      <c r="E2702" s="1" t="s">
        <v>5341</v>
      </c>
      <c r="F2702" s="2">
        <v>454</v>
      </c>
      <c r="G2702" s="3">
        <v>42.5</v>
      </c>
      <c r="H2702" s="4" t="str">
        <f>IF(AND(A2702="Yes",C2702="School"),COUNTIFS($A$6:A2702,"Yes",$C$6:C2702,"School"),"")</f>
        <v/>
      </c>
    </row>
    <row r="2703" spans="1:8">
      <c r="A2703" s="13"/>
      <c r="B2703" s="1" t="s">
        <v>5311</v>
      </c>
      <c r="C2703" s="1" t="s">
        <v>24</v>
      </c>
      <c r="D2703" s="1" t="s">
        <v>5342</v>
      </c>
      <c r="E2703" s="1" t="s">
        <v>5343</v>
      </c>
      <c r="F2703" s="2">
        <v>489</v>
      </c>
      <c r="G2703" s="3">
        <v>37.799999999999997</v>
      </c>
      <c r="H2703" s="4" t="str">
        <f>IF(AND(A2703="Yes",C2703="School"),COUNTIFS($A$6:A2703,"Yes",$C$6:C2703,"School"),"")</f>
        <v/>
      </c>
    </row>
    <row r="2704" spans="1:8">
      <c r="A2704" s="13"/>
      <c r="B2704" s="1" t="s">
        <v>5311</v>
      </c>
      <c r="C2704" s="1" t="s">
        <v>24</v>
      </c>
      <c r="D2704" s="1" t="s">
        <v>5344</v>
      </c>
      <c r="E2704" s="1" t="s">
        <v>5345</v>
      </c>
      <c r="F2704" s="2">
        <v>295</v>
      </c>
      <c r="G2704" s="3">
        <v>53.9</v>
      </c>
      <c r="H2704" s="4" t="str">
        <f>IF(AND(A2704="Yes",C2704="School"),COUNTIFS($A$6:A2704,"Yes",$C$6:C2704,"School"),"")</f>
        <v/>
      </c>
    </row>
    <row r="2705" spans="1:8">
      <c r="A2705" s="13"/>
      <c r="B2705" s="1" t="s">
        <v>5311</v>
      </c>
      <c r="C2705" s="1" t="s">
        <v>24</v>
      </c>
      <c r="D2705" s="1" t="s">
        <v>5346</v>
      </c>
      <c r="E2705" s="1" t="s">
        <v>5347</v>
      </c>
      <c r="F2705" s="2">
        <v>419</v>
      </c>
      <c r="G2705" s="3">
        <v>45.3</v>
      </c>
      <c r="H2705" s="4" t="str">
        <f>IF(AND(A2705="Yes",C2705="School"),COUNTIFS($A$6:A2705,"Yes",$C$6:C2705,"School"),"")</f>
        <v/>
      </c>
    </row>
    <row r="2706" spans="1:8">
      <c r="A2706" s="13"/>
      <c r="B2706" s="1" t="s">
        <v>5311</v>
      </c>
      <c r="C2706" s="1" t="s">
        <v>24</v>
      </c>
      <c r="D2706" s="1" t="s">
        <v>5348</v>
      </c>
      <c r="E2706" s="1" t="s">
        <v>5349</v>
      </c>
      <c r="F2706" s="2">
        <v>188</v>
      </c>
      <c r="G2706" s="3">
        <v>69.099999999999994</v>
      </c>
      <c r="H2706" s="4" t="str">
        <f>IF(AND(A2706="Yes",C2706="School"),COUNTIFS($A$6:A2706,"Yes",$C$6:C2706,"School"),"")</f>
        <v/>
      </c>
    </row>
    <row r="2707" spans="1:8">
      <c r="A2707" s="13"/>
      <c r="B2707" s="1" t="s">
        <v>5311</v>
      </c>
      <c r="C2707" s="1" t="s">
        <v>24</v>
      </c>
      <c r="D2707" s="1" t="s">
        <v>5350</v>
      </c>
      <c r="E2707" s="1" t="s">
        <v>5351</v>
      </c>
      <c r="F2707" s="2">
        <v>424</v>
      </c>
      <c r="G2707" s="3">
        <v>84.9</v>
      </c>
      <c r="H2707" s="4" t="str">
        <f>IF(AND(A2707="Yes",C2707="School"),COUNTIFS($A$6:A2707,"Yes",$C$6:C2707,"School"),"")</f>
        <v/>
      </c>
    </row>
    <row r="2708" spans="1:8">
      <c r="A2708" s="13"/>
      <c r="B2708" s="1" t="s">
        <v>5311</v>
      </c>
      <c r="C2708" s="1" t="s">
        <v>24</v>
      </c>
      <c r="D2708" s="1" t="s">
        <v>5352</v>
      </c>
      <c r="E2708" s="1" t="s">
        <v>5353</v>
      </c>
      <c r="F2708" s="2">
        <v>463</v>
      </c>
      <c r="G2708" s="3">
        <v>68.3</v>
      </c>
      <c r="H2708" s="4" t="str">
        <f>IF(AND(A2708="Yes",C2708="School"),COUNTIFS($A$6:A2708,"Yes",$C$6:C2708,"School"),"")</f>
        <v/>
      </c>
    </row>
    <row r="2709" spans="1:8">
      <c r="A2709" s="13"/>
      <c r="B2709" s="1" t="s">
        <v>5311</v>
      </c>
      <c r="C2709" s="1" t="s">
        <v>24</v>
      </c>
      <c r="D2709" s="1" t="s">
        <v>5354</v>
      </c>
      <c r="E2709" s="1" t="s">
        <v>5355</v>
      </c>
      <c r="F2709" s="2">
        <v>364</v>
      </c>
      <c r="G2709" s="3">
        <v>65.400000000000006</v>
      </c>
      <c r="H2709" s="4" t="str">
        <f>IF(AND(A2709="Yes",C2709="School"),COUNTIFS($A$6:A2709,"Yes",$C$6:C2709,"School"),"")</f>
        <v/>
      </c>
    </row>
    <row r="2710" spans="1:8">
      <c r="A2710" s="13"/>
      <c r="B2710" s="1" t="s">
        <v>5311</v>
      </c>
      <c r="C2710" s="1" t="s">
        <v>24</v>
      </c>
      <c r="D2710" s="1" t="s">
        <v>5356</v>
      </c>
      <c r="E2710" s="1" t="s">
        <v>5357</v>
      </c>
      <c r="F2710" s="2">
        <v>302</v>
      </c>
      <c r="G2710" s="3">
        <v>39.4</v>
      </c>
      <c r="H2710" s="4" t="str">
        <f>IF(AND(A2710="Yes",C2710="School"),COUNTIFS($A$6:A2710,"Yes",$C$6:C2710,"School"),"")</f>
        <v/>
      </c>
    </row>
    <row r="2711" spans="1:8">
      <c r="A2711" s="13"/>
      <c r="B2711" s="1" t="s">
        <v>5311</v>
      </c>
      <c r="C2711" s="1" t="s">
        <v>24</v>
      </c>
      <c r="D2711" s="1" t="s">
        <v>5358</v>
      </c>
      <c r="E2711" s="1" t="s">
        <v>5359</v>
      </c>
      <c r="F2711" s="2">
        <v>32</v>
      </c>
      <c r="G2711" s="3">
        <v>34.4</v>
      </c>
      <c r="H2711" s="4" t="str">
        <f>IF(AND(A2711="Yes",C2711="School"),COUNTIFS($A$6:A2711,"Yes",$C$6:C2711,"School"),"")</f>
        <v/>
      </c>
    </row>
    <row r="2712" spans="1:8">
      <c r="A2712" s="13"/>
      <c r="B2712" s="1" t="s">
        <v>5311</v>
      </c>
      <c r="C2712" s="1" t="s">
        <v>24</v>
      </c>
      <c r="D2712" s="1" t="s">
        <v>5360</v>
      </c>
      <c r="E2712" s="1" t="s">
        <v>5361</v>
      </c>
      <c r="F2712" s="2">
        <v>268</v>
      </c>
      <c r="G2712" s="3">
        <v>35.799999999999997</v>
      </c>
      <c r="H2712" s="4" t="str">
        <f>IF(AND(A2712="Yes",C2712="School"),COUNTIFS($A$6:A2712,"Yes",$C$6:C2712,"School"),"")</f>
        <v/>
      </c>
    </row>
    <row r="2713" spans="1:8">
      <c r="A2713" s="13"/>
      <c r="B2713" s="1" t="s">
        <v>5362</v>
      </c>
      <c r="C2713" s="1" t="s">
        <v>24</v>
      </c>
      <c r="D2713" s="1" t="s">
        <v>5362</v>
      </c>
      <c r="E2713" s="1" t="s">
        <v>5363</v>
      </c>
      <c r="F2713" s="2">
        <v>679</v>
      </c>
      <c r="G2713" s="3">
        <v>68.599999999999994</v>
      </c>
      <c r="H2713" s="4" t="str">
        <f>IF(AND(A2713="Yes",C2713="School"),COUNTIFS($A$6:A2713,"Yes",$C$6:C2713,"School"),"")</f>
        <v/>
      </c>
    </row>
    <row r="2714" spans="1:8">
      <c r="A2714" s="13"/>
      <c r="B2714" s="1" t="s">
        <v>5362</v>
      </c>
      <c r="C2714" s="1" t="s">
        <v>24</v>
      </c>
      <c r="D2714" s="1" t="s">
        <v>5364</v>
      </c>
      <c r="E2714" s="1" t="s">
        <v>5365</v>
      </c>
      <c r="F2714" s="2">
        <v>27</v>
      </c>
      <c r="G2714" s="3">
        <v>63</v>
      </c>
      <c r="H2714" s="4" t="str">
        <f>IF(AND(A2714="Yes",C2714="School"),COUNTIFS($A$6:A2714,"Yes",$C$6:C2714,"School"),"")</f>
        <v/>
      </c>
    </row>
    <row r="2715" spans="1:8">
      <c r="A2715" s="13"/>
      <c r="B2715" s="1" t="s">
        <v>5366</v>
      </c>
      <c r="C2715" s="1" t="s">
        <v>40</v>
      </c>
      <c r="D2715" s="1" t="s">
        <v>41</v>
      </c>
      <c r="E2715" s="1" t="s">
        <v>5367</v>
      </c>
      <c r="F2715" s="2">
        <v>49570</v>
      </c>
      <c r="G2715" s="3">
        <v>57</v>
      </c>
      <c r="H2715" s="4" t="str">
        <f>IF(AND(A2715="Yes",C2715="School"),COUNTIFS($A$6:A2715,"Yes",$C$6:C2715,"School"),"")</f>
        <v/>
      </c>
    </row>
    <row r="2716" spans="1:8">
      <c r="A2716" s="13"/>
      <c r="B2716" s="1" t="s">
        <v>5366</v>
      </c>
      <c r="C2716" s="1" t="s">
        <v>24</v>
      </c>
      <c r="D2716" s="1" t="s">
        <v>5368</v>
      </c>
      <c r="E2716" s="1" t="s">
        <v>5369</v>
      </c>
      <c r="F2716" s="2">
        <v>407</v>
      </c>
      <c r="G2716" s="3">
        <v>84.5</v>
      </c>
      <c r="H2716" s="4" t="str">
        <f>IF(AND(A2716="Yes",C2716="School"),COUNTIFS($A$6:A2716,"Yes",$C$6:C2716,"School"),"")</f>
        <v/>
      </c>
    </row>
    <row r="2717" spans="1:8">
      <c r="A2717" s="13"/>
      <c r="B2717" s="1" t="s">
        <v>5366</v>
      </c>
      <c r="C2717" s="1" t="s">
        <v>24</v>
      </c>
      <c r="D2717" s="1" t="s">
        <v>5370</v>
      </c>
      <c r="E2717" s="1" t="s">
        <v>5371</v>
      </c>
      <c r="F2717" s="2">
        <v>1165</v>
      </c>
      <c r="G2717" s="3">
        <v>36.799999999999997</v>
      </c>
      <c r="H2717" s="4" t="str">
        <f>IF(AND(A2717="Yes",C2717="School"),COUNTIFS($A$6:A2717,"Yes",$C$6:C2717,"School"),"")</f>
        <v/>
      </c>
    </row>
    <row r="2718" spans="1:8">
      <c r="A2718" s="13"/>
      <c r="B2718" s="1" t="s">
        <v>5366</v>
      </c>
      <c r="C2718" s="1" t="s">
        <v>24</v>
      </c>
      <c r="D2718" s="1" t="s">
        <v>5372</v>
      </c>
      <c r="E2718" s="1" t="s">
        <v>5373</v>
      </c>
      <c r="F2718" s="2">
        <v>363</v>
      </c>
      <c r="G2718" s="3">
        <v>81</v>
      </c>
      <c r="H2718" s="4" t="str">
        <f>IF(AND(A2718="Yes",C2718="School"),COUNTIFS($A$6:A2718,"Yes",$C$6:C2718,"School"),"")</f>
        <v/>
      </c>
    </row>
    <row r="2719" spans="1:8">
      <c r="A2719" s="13"/>
      <c r="B2719" s="1" t="s">
        <v>5366</v>
      </c>
      <c r="C2719" s="1" t="s">
        <v>24</v>
      </c>
      <c r="D2719" s="1" t="s">
        <v>5374</v>
      </c>
      <c r="E2719" s="1" t="s">
        <v>5375</v>
      </c>
      <c r="F2719" s="2">
        <v>332</v>
      </c>
      <c r="G2719" s="3">
        <v>63.6</v>
      </c>
      <c r="H2719" s="4" t="str">
        <f>IF(AND(A2719="Yes",C2719="School"),COUNTIFS($A$6:A2719,"Yes",$C$6:C2719,"School"),"")</f>
        <v/>
      </c>
    </row>
    <row r="2720" spans="1:8">
      <c r="A2720" s="13"/>
      <c r="B2720" s="1" t="s">
        <v>5366</v>
      </c>
      <c r="C2720" s="1" t="s">
        <v>24</v>
      </c>
      <c r="D2720" s="1" t="s">
        <v>5376</v>
      </c>
      <c r="E2720" s="1" t="s">
        <v>5377</v>
      </c>
      <c r="F2720" s="2">
        <v>610</v>
      </c>
      <c r="G2720" s="3">
        <v>54.9</v>
      </c>
      <c r="H2720" s="4" t="str">
        <f>IF(AND(A2720="Yes",C2720="School"),COUNTIFS($A$6:A2720,"Yes",$C$6:C2720,"School"),"")</f>
        <v/>
      </c>
    </row>
    <row r="2721" spans="1:8">
      <c r="A2721" s="13"/>
      <c r="B2721" s="1" t="s">
        <v>5366</v>
      </c>
      <c r="C2721" s="1" t="s">
        <v>24</v>
      </c>
      <c r="D2721" s="1" t="s">
        <v>5378</v>
      </c>
      <c r="E2721" s="1" t="s">
        <v>5379</v>
      </c>
      <c r="F2721" s="2">
        <v>107</v>
      </c>
      <c r="G2721" s="3">
        <v>86.9</v>
      </c>
      <c r="H2721" s="4" t="str">
        <f>IF(AND(A2721="Yes",C2721="School"),COUNTIFS($A$6:A2721,"Yes",$C$6:C2721,"School"),"")</f>
        <v/>
      </c>
    </row>
    <row r="2722" spans="1:8">
      <c r="A2722" s="13"/>
      <c r="B2722" s="1" t="s">
        <v>5366</v>
      </c>
      <c r="C2722" s="1" t="s">
        <v>24</v>
      </c>
      <c r="D2722" s="1" t="s">
        <v>5380</v>
      </c>
      <c r="E2722" s="1" t="s">
        <v>5381</v>
      </c>
      <c r="F2722" s="2">
        <v>683</v>
      </c>
      <c r="G2722" s="3">
        <v>84.2</v>
      </c>
      <c r="H2722" s="4" t="str">
        <f>IF(AND(A2722="Yes",C2722="School"),COUNTIFS($A$6:A2722,"Yes",$C$6:C2722,"School"),"")</f>
        <v/>
      </c>
    </row>
    <row r="2723" spans="1:8">
      <c r="A2723" s="13"/>
      <c r="B2723" s="1" t="s">
        <v>5366</v>
      </c>
      <c r="C2723" s="1" t="s">
        <v>24</v>
      </c>
      <c r="D2723" s="1" t="s">
        <v>5382</v>
      </c>
      <c r="E2723" s="1" t="s">
        <v>5383</v>
      </c>
      <c r="F2723" s="2">
        <v>488</v>
      </c>
      <c r="G2723" s="3">
        <v>54.9</v>
      </c>
      <c r="H2723" s="4" t="str">
        <f>IF(AND(A2723="Yes",C2723="School"),COUNTIFS($A$6:A2723,"Yes",$C$6:C2723,"School"),"")</f>
        <v/>
      </c>
    </row>
    <row r="2724" spans="1:8">
      <c r="A2724" s="13"/>
      <c r="B2724" s="1" t="s">
        <v>5366</v>
      </c>
      <c r="C2724" s="1" t="s">
        <v>24</v>
      </c>
      <c r="D2724" s="1" t="s">
        <v>5384</v>
      </c>
      <c r="E2724" s="1" t="s">
        <v>5385</v>
      </c>
      <c r="F2724" s="2">
        <v>82</v>
      </c>
      <c r="G2724" s="3">
        <v>81.7</v>
      </c>
      <c r="H2724" s="4" t="str">
        <f>IF(AND(A2724="Yes",C2724="School"),COUNTIFS($A$6:A2724,"Yes",$C$6:C2724,"School"),"")</f>
        <v/>
      </c>
    </row>
    <row r="2725" spans="1:8">
      <c r="A2725" s="13"/>
      <c r="B2725" s="1" t="s">
        <v>5366</v>
      </c>
      <c r="C2725" s="1" t="s">
        <v>24</v>
      </c>
      <c r="D2725" s="1" t="s">
        <v>5386</v>
      </c>
      <c r="E2725" s="1" t="s">
        <v>5387</v>
      </c>
      <c r="F2725" s="2">
        <v>816</v>
      </c>
      <c r="G2725" s="3">
        <v>32.6</v>
      </c>
      <c r="H2725" s="4" t="str">
        <f>IF(AND(A2725="Yes",C2725="School"),COUNTIFS($A$6:A2725,"Yes",$C$6:C2725,"School"),"")</f>
        <v/>
      </c>
    </row>
    <row r="2726" spans="1:8">
      <c r="A2726" s="13"/>
      <c r="B2726" s="1" t="s">
        <v>5366</v>
      </c>
      <c r="C2726" s="1" t="s">
        <v>24</v>
      </c>
      <c r="D2726" s="1" t="s">
        <v>5388</v>
      </c>
      <c r="E2726" s="1" t="s">
        <v>5389</v>
      </c>
      <c r="F2726" s="2">
        <v>1025</v>
      </c>
      <c r="G2726" s="3">
        <v>48.1</v>
      </c>
      <c r="H2726" s="4" t="str">
        <f>IF(AND(A2726="Yes",C2726="School"),COUNTIFS($A$6:A2726,"Yes",$C$6:C2726,"School"),"")</f>
        <v/>
      </c>
    </row>
    <row r="2727" spans="1:8">
      <c r="A2727" s="13"/>
      <c r="B2727" s="1" t="s">
        <v>5366</v>
      </c>
      <c r="C2727" s="1" t="s">
        <v>24</v>
      </c>
      <c r="D2727" s="1" t="s">
        <v>5390</v>
      </c>
      <c r="E2727" s="1" t="s">
        <v>5391</v>
      </c>
      <c r="F2727" s="2">
        <v>190</v>
      </c>
      <c r="G2727" s="3">
        <v>91.6</v>
      </c>
      <c r="H2727" s="4" t="str">
        <f>IF(AND(A2727="Yes",C2727="School"),COUNTIFS($A$6:A2727,"Yes",$C$6:C2727,"School"),"")</f>
        <v/>
      </c>
    </row>
    <row r="2728" spans="1:8">
      <c r="A2728" s="13"/>
      <c r="B2728" s="1" t="s">
        <v>5366</v>
      </c>
      <c r="C2728" s="1" t="s">
        <v>24</v>
      </c>
      <c r="D2728" s="1" t="s">
        <v>5392</v>
      </c>
      <c r="E2728" s="1" t="s">
        <v>5393</v>
      </c>
      <c r="F2728" s="2">
        <v>340</v>
      </c>
      <c r="G2728" s="3">
        <v>86.2</v>
      </c>
      <c r="H2728" s="4" t="str">
        <f>IF(AND(A2728="Yes",C2728="School"),COUNTIFS($A$6:A2728,"Yes",$C$6:C2728,"School"),"")</f>
        <v/>
      </c>
    </row>
    <row r="2729" spans="1:8">
      <c r="A2729" s="13"/>
      <c r="B2729" s="1" t="s">
        <v>5366</v>
      </c>
      <c r="C2729" s="1" t="s">
        <v>24</v>
      </c>
      <c r="D2729" s="1" t="s">
        <v>5394</v>
      </c>
      <c r="E2729" s="1" t="s">
        <v>5395</v>
      </c>
      <c r="F2729" s="2">
        <v>308</v>
      </c>
      <c r="G2729" s="3">
        <v>37</v>
      </c>
      <c r="H2729" s="4" t="str">
        <f>IF(AND(A2729="Yes",C2729="School"),COUNTIFS($A$6:A2729,"Yes",$C$6:C2729,"School"),"")</f>
        <v/>
      </c>
    </row>
    <row r="2730" spans="1:8">
      <c r="A2730" s="13"/>
      <c r="B2730" s="1" t="s">
        <v>5366</v>
      </c>
      <c r="C2730" s="1" t="s">
        <v>24</v>
      </c>
      <c r="D2730" s="1" t="s">
        <v>5396</v>
      </c>
      <c r="E2730" s="1" t="s">
        <v>5397</v>
      </c>
      <c r="F2730" s="2">
        <v>1572</v>
      </c>
      <c r="G2730" s="3">
        <v>49.3</v>
      </c>
      <c r="H2730" s="4" t="str">
        <f>IF(AND(A2730="Yes",C2730="School"),COUNTIFS($A$6:A2730,"Yes",$C$6:C2730,"School"),"")</f>
        <v/>
      </c>
    </row>
    <row r="2731" spans="1:8">
      <c r="A2731" s="13"/>
      <c r="B2731" s="1" t="s">
        <v>5366</v>
      </c>
      <c r="C2731" s="1" t="s">
        <v>24</v>
      </c>
      <c r="D2731" s="1" t="s">
        <v>5398</v>
      </c>
      <c r="E2731" s="1" t="s">
        <v>5399</v>
      </c>
      <c r="F2731" s="2">
        <v>682</v>
      </c>
      <c r="G2731" s="3">
        <v>72.900000000000006</v>
      </c>
      <c r="H2731" s="4" t="str">
        <f>IF(AND(A2731="Yes",C2731="School"),COUNTIFS($A$6:A2731,"Yes",$C$6:C2731,"School"),"")</f>
        <v/>
      </c>
    </row>
    <row r="2732" spans="1:8">
      <c r="A2732" s="13"/>
      <c r="B2732" s="1" t="s">
        <v>5366</v>
      </c>
      <c r="C2732" s="1" t="s">
        <v>24</v>
      </c>
      <c r="D2732" s="1" t="s">
        <v>5400</v>
      </c>
      <c r="E2732" s="1" t="s">
        <v>5401</v>
      </c>
      <c r="F2732" s="2">
        <v>480</v>
      </c>
      <c r="G2732" s="3">
        <v>81.7</v>
      </c>
      <c r="H2732" s="4" t="str">
        <f>IF(AND(A2732="Yes",C2732="School"),COUNTIFS($A$6:A2732,"Yes",$C$6:C2732,"School"),"")</f>
        <v/>
      </c>
    </row>
    <row r="2733" spans="1:8">
      <c r="A2733" s="13"/>
      <c r="B2733" s="1" t="s">
        <v>5366</v>
      </c>
      <c r="C2733" s="1" t="s">
        <v>24</v>
      </c>
      <c r="D2733" s="1" t="s">
        <v>2673</v>
      </c>
      <c r="E2733" s="1" t="s">
        <v>5402</v>
      </c>
      <c r="F2733" s="2">
        <v>543</v>
      </c>
      <c r="G2733" s="3">
        <v>74.400000000000006</v>
      </c>
      <c r="H2733" s="4" t="str">
        <f>IF(AND(A2733="Yes",C2733="School"),COUNTIFS($A$6:A2733,"Yes",$C$6:C2733,"School"),"")</f>
        <v/>
      </c>
    </row>
    <row r="2734" spans="1:8">
      <c r="A2734" s="13"/>
      <c r="B2734" s="1" t="s">
        <v>5366</v>
      </c>
      <c r="C2734" s="1" t="s">
        <v>24</v>
      </c>
      <c r="D2734" s="1" t="s">
        <v>2999</v>
      </c>
      <c r="E2734" s="1" t="s">
        <v>5403</v>
      </c>
      <c r="F2734" s="2">
        <v>538</v>
      </c>
      <c r="G2734" s="3">
        <v>84.9</v>
      </c>
      <c r="H2734" s="4" t="str">
        <f>IF(AND(A2734="Yes",C2734="School"),COUNTIFS($A$6:A2734,"Yes",$C$6:C2734,"School"),"")</f>
        <v/>
      </c>
    </row>
    <row r="2735" spans="1:8">
      <c r="A2735" s="13"/>
      <c r="B2735" s="1" t="s">
        <v>5366</v>
      </c>
      <c r="C2735" s="1" t="s">
        <v>24</v>
      </c>
      <c r="D2735" s="1" t="s">
        <v>5404</v>
      </c>
      <c r="E2735" s="1" t="s">
        <v>5405</v>
      </c>
      <c r="F2735" s="2">
        <v>715</v>
      </c>
      <c r="G2735" s="3">
        <v>44.1</v>
      </c>
      <c r="H2735" s="4" t="str">
        <f>IF(AND(A2735="Yes",C2735="School"),COUNTIFS($A$6:A2735,"Yes",$C$6:C2735,"School"),"")</f>
        <v/>
      </c>
    </row>
    <row r="2736" spans="1:8">
      <c r="A2736" s="13"/>
      <c r="B2736" s="1" t="s">
        <v>5366</v>
      </c>
      <c r="C2736" s="1" t="s">
        <v>24</v>
      </c>
      <c r="D2736" s="1" t="s">
        <v>5406</v>
      </c>
      <c r="E2736" s="1" t="s">
        <v>5407</v>
      </c>
      <c r="F2736" s="2">
        <v>562</v>
      </c>
      <c r="G2736" s="3">
        <v>79.7</v>
      </c>
      <c r="H2736" s="4" t="str">
        <f>IF(AND(A2736="Yes",C2736="School"),COUNTIFS($A$6:A2736,"Yes",$C$6:C2736,"School"),"")</f>
        <v/>
      </c>
    </row>
    <row r="2737" spans="1:8">
      <c r="A2737" s="13"/>
      <c r="B2737" s="1" t="s">
        <v>5366</v>
      </c>
      <c r="C2737" s="1" t="s">
        <v>24</v>
      </c>
      <c r="D2737" s="1" t="s">
        <v>5408</v>
      </c>
      <c r="E2737" s="1" t="s">
        <v>5409</v>
      </c>
      <c r="F2737" s="2">
        <v>586</v>
      </c>
      <c r="G2737" s="3">
        <v>81.099999999999994</v>
      </c>
      <c r="H2737" s="4" t="str">
        <f>IF(AND(A2737="Yes",C2737="School"),COUNTIFS($A$6:A2737,"Yes",$C$6:C2737,"School"),"")</f>
        <v/>
      </c>
    </row>
    <row r="2738" spans="1:8">
      <c r="A2738" s="13"/>
      <c r="B2738" s="1" t="s">
        <v>5366</v>
      </c>
      <c r="C2738" s="1" t="s">
        <v>24</v>
      </c>
      <c r="D2738" s="1" t="s">
        <v>5410</v>
      </c>
      <c r="E2738" s="1" t="s">
        <v>5411</v>
      </c>
      <c r="F2738" s="2">
        <v>568</v>
      </c>
      <c r="G2738" s="3">
        <v>78.900000000000006</v>
      </c>
      <c r="H2738" s="4" t="str">
        <f>IF(AND(A2738="Yes",C2738="School"),COUNTIFS($A$6:A2738,"Yes",$C$6:C2738,"School"),"")</f>
        <v/>
      </c>
    </row>
    <row r="2739" spans="1:8">
      <c r="A2739" s="13"/>
      <c r="B2739" s="1" t="s">
        <v>5366</v>
      </c>
      <c r="C2739" s="1" t="s">
        <v>24</v>
      </c>
      <c r="D2739" s="1" t="s">
        <v>5412</v>
      </c>
      <c r="E2739" s="1" t="s">
        <v>5413</v>
      </c>
      <c r="F2739" s="2">
        <v>984</v>
      </c>
      <c r="G2739" s="3">
        <v>51.6</v>
      </c>
      <c r="H2739" s="4" t="str">
        <f>IF(AND(A2739="Yes",C2739="School"),COUNTIFS($A$6:A2739,"Yes",$C$6:C2739,"School"),"")</f>
        <v/>
      </c>
    </row>
    <row r="2740" spans="1:8">
      <c r="A2740" s="13"/>
      <c r="B2740" s="1" t="s">
        <v>5366</v>
      </c>
      <c r="C2740" s="1" t="s">
        <v>24</v>
      </c>
      <c r="D2740" s="1" t="s">
        <v>5414</v>
      </c>
      <c r="E2740" s="1" t="s">
        <v>5415</v>
      </c>
      <c r="F2740" s="2">
        <v>356</v>
      </c>
      <c r="G2740" s="3">
        <v>78.400000000000006</v>
      </c>
      <c r="H2740" s="4" t="str">
        <f>IF(AND(A2740="Yes",C2740="School"),COUNTIFS($A$6:A2740,"Yes",$C$6:C2740,"School"),"")</f>
        <v/>
      </c>
    </row>
    <row r="2741" spans="1:8">
      <c r="A2741" s="13"/>
      <c r="B2741" s="1" t="s">
        <v>5366</v>
      </c>
      <c r="C2741" s="1" t="s">
        <v>24</v>
      </c>
      <c r="D2741" s="1" t="s">
        <v>5416</v>
      </c>
      <c r="E2741" s="1" t="s">
        <v>5417</v>
      </c>
      <c r="F2741" s="2">
        <v>207</v>
      </c>
      <c r="G2741" s="3">
        <v>72.900000000000006</v>
      </c>
      <c r="H2741" s="4" t="str">
        <f>IF(AND(A2741="Yes",C2741="School"),COUNTIFS($A$6:A2741,"Yes",$C$6:C2741,"School"),"")</f>
        <v/>
      </c>
    </row>
    <row r="2742" spans="1:8">
      <c r="A2742" s="13"/>
      <c r="B2742" s="1" t="s">
        <v>5366</v>
      </c>
      <c r="C2742" s="1" t="s">
        <v>24</v>
      </c>
      <c r="D2742" s="1" t="s">
        <v>1357</v>
      </c>
      <c r="E2742" s="1" t="s">
        <v>5418</v>
      </c>
      <c r="F2742" s="2">
        <v>566</v>
      </c>
      <c r="G2742" s="3">
        <v>36.9</v>
      </c>
      <c r="H2742" s="4" t="str">
        <f>IF(AND(A2742="Yes",C2742="School"),COUNTIFS($A$6:A2742,"Yes",$C$6:C2742,"School"),"")</f>
        <v/>
      </c>
    </row>
    <row r="2743" spans="1:8">
      <c r="A2743" s="13"/>
      <c r="B2743" s="1" t="s">
        <v>5366</v>
      </c>
      <c r="C2743" s="1" t="s">
        <v>24</v>
      </c>
      <c r="D2743" s="1" t="s">
        <v>5419</v>
      </c>
      <c r="E2743" s="1" t="s">
        <v>5420</v>
      </c>
      <c r="F2743" s="2">
        <v>575</v>
      </c>
      <c r="G2743" s="3">
        <v>71.3</v>
      </c>
      <c r="H2743" s="4" t="str">
        <f>IF(AND(A2743="Yes",C2743="School"),COUNTIFS($A$6:A2743,"Yes",$C$6:C2743,"School"),"")</f>
        <v/>
      </c>
    </row>
    <row r="2744" spans="1:8">
      <c r="A2744" s="13"/>
      <c r="B2744" s="1" t="s">
        <v>5366</v>
      </c>
      <c r="C2744" s="1" t="s">
        <v>24</v>
      </c>
      <c r="D2744" s="1" t="s">
        <v>5421</v>
      </c>
      <c r="E2744" s="1" t="s">
        <v>5422</v>
      </c>
      <c r="F2744" s="2">
        <v>749</v>
      </c>
      <c r="G2744" s="3">
        <v>43.8</v>
      </c>
      <c r="H2744" s="4" t="str">
        <f>IF(AND(A2744="Yes",C2744="School"),COUNTIFS($A$6:A2744,"Yes",$C$6:C2744,"School"),"")</f>
        <v/>
      </c>
    </row>
    <row r="2745" spans="1:8">
      <c r="A2745" s="13"/>
      <c r="B2745" s="1" t="s">
        <v>5366</v>
      </c>
      <c r="C2745" s="1" t="s">
        <v>24</v>
      </c>
      <c r="D2745" s="1" t="s">
        <v>5423</v>
      </c>
      <c r="E2745" s="1" t="s">
        <v>5424</v>
      </c>
      <c r="F2745" s="2">
        <v>358</v>
      </c>
      <c r="G2745" s="3">
        <v>90.5</v>
      </c>
      <c r="H2745" s="4" t="str">
        <f>IF(AND(A2745="Yes",C2745="School"),COUNTIFS($A$6:A2745,"Yes",$C$6:C2745,"School"),"")</f>
        <v/>
      </c>
    </row>
    <row r="2746" spans="1:8">
      <c r="A2746" s="13"/>
      <c r="B2746" s="1" t="s">
        <v>5366</v>
      </c>
      <c r="C2746" s="1" t="s">
        <v>24</v>
      </c>
      <c r="D2746" s="1" t="s">
        <v>5425</v>
      </c>
      <c r="E2746" s="1" t="s">
        <v>5426</v>
      </c>
      <c r="F2746" s="2">
        <v>683</v>
      </c>
      <c r="G2746" s="3">
        <v>72.2</v>
      </c>
      <c r="H2746" s="4" t="str">
        <f>IF(AND(A2746="Yes",C2746="School"),COUNTIFS($A$6:A2746,"Yes",$C$6:C2746,"School"),"")</f>
        <v/>
      </c>
    </row>
    <row r="2747" spans="1:8">
      <c r="A2747" s="13"/>
      <c r="B2747" s="1" t="s">
        <v>5366</v>
      </c>
      <c r="C2747" s="1" t="s">
        <v>24</v>
      </c>
      <c r="D2747" s="1" t="s">
        <v>5427</v>
      </c>
      <c r="E2747" s="1" t="s">
        <v>5428</v>
      </c>
      <c r="F2747" s="2" t="s">
        <v>4491</v>
      </c>
      <c r="G2747" s="3" t="s">
        <v>4492</v>
      </c>
      <c r="H2747" s="4" t="str">
        <f>IF(AND(A2747="Yes",C2747="School"),COUNTIFS($A$6:A2747,"Yes",$C$6:C2747,"School"),"")</f>
        <v/>
      </c>
    </row>
    <row r="2748" spans="1:8">
      <c r="A2748" s="13"/>
      <c r="B2748" s="1" t="s">
        <v>5366</v>
      </c>
      <c r="C2748" s="1" t="s">
        <v>24</v>
      </c>
      <c r="D2748" s="1" t="s">
        <v>5429</v>
      </c>
      <c r="E2748" s="1" t="s">
        <v>5430</v>
      </c>
      <c r="F2748" s="2">
        <v>599</v>
      </c>
      <c r="G2748" s="3">
        <v>76.599999999999994</v>
      </c>
      <c r="H2748" s="4" t="str">
        <f>IF(AND(A2748="Yes",C2748="School"),COUNTIFS($A$6:A2748,"Yes",$C$6:C2748,"School"),"")</f>
        <v/>
      </c>
    </row>
    <row r="2749" spans="1:8">
      <c r="A2749" s="13"/>
      <c r="B2749" s="1" t="s">
        <v>5366</v>
      </c>
      <c r="C2749" s="1" t="s">
        <v>24</v>
      </c>
      <c r="D2749" s="1" t="s">
        <v>5431</v>
      </c>
      <c r="E2749" s="1" t="s">
        <v>5432</v>
      </c>
      <c r="F2749" s="2">
        <v>472</v>
      </c>
      <c r="G2749" s="3">
        <v>79.2</v>
      </c>
      <c r="H2749" s="4" t="str">
        <f>IF(AND(A2749="Yes",C2749="School"),COUNTIFS($A$6:A2749,"Yes",$C$6:C2749,"School"),"")</f>
        <v/>
      </c>
    </row>
    <row r="2750" spans="1:8">
      <c r="A2750" s="13"/>
      <c r="B2750" s="1" t="s">
        <v>5366</v>
      </c>
      <c r="C2750" s="1" t="s">
        <v>24</v>
      </c>
      <c r="D2750" s="1" t="s">
        <v>5433</v>
      </c>
      <c r="E2750" s="1" t="s">
        <v>5434</v>
      </c>
      <c r="F2750" s="2">
        <v>565</v>
      </c>
      <c r="G2750" s="3">
        <v>28.7</v>
      </c>
      <c r="H2750" s="4" t="str">
        <f>IF(AND(A2750="Yes",C2750="School"),COUNTIFS($A$6:A2750,"Yes",$C$6:C2750,"School"),"")</f>
        <v/>
      </c>
    </row>
    <row r="2751" spans="1:8">
      <c r="A2751" s="13"/>
      <c r="B2751" s="1" t="s">
        <v>5366</v>
      </c>
      <c r="C2751" s="1" t="s">
        <v>24</v>
      </c>
      <c r="D2751" s="1" t="s">
        <v>5435</v>
      </c>
      <c r="E2751" s="1" t="s">
        <v>5436</v>
      </c>
      <c r="F2751" s="2">
        <v>873</v>
      </c>
      <c r="G2751" s="3">
        <v>28.6</v>
      </c>
      <c r="H2751" s="4" t="str">
        <f>IF(AND(A2751="Yes",C2751="School"),COUNTIFS($A$6:A2751,"Yes",$C$6:C2751,"School"),"")</f>
        <v/>
      </c>
    </row>
    <row r="2752" spans="1:8">
      <c r="A2752" s="13"/>
      <c r="B2752" s="1" t="s">
        <v>5366</v>
      </c>
      <c r="C2752" s="1" t="s">
        <v>24</v>
      </c>
      <c r="D2752" s="1" t="s">
        <v>5437</v>
      </c>
      <c r="E2752" s="1" t="s">
        <v>5438</v>
      </c>
      <c r="F2752" s="2">
        <v>120</v>
      </c>
      <c r="G2752" s="3">
        <v>79.2</v>
      </c>
      <c r="H2752" s="4" t="str">
        <f>IF(AND(A2752="Yes",C2752="School"),COUNTIFS($A$6:A2752,"Yes",$C$6:C2752,"School"),"")</f>
        <v/>
      </c>
    </row>
    <row r="2753" spans="1:8">
      <c r="A2753" s="13"/>
      <c r="B2753" s="1" t="s">
        <v>5366</v>
      </c>
      <c r="C2753" s="1" t="s">
        <v>24</v>
      </c>
      <c r="D2753" s="1" t="s">
        <v>5439</v>
      </c>
      <c r="E2753" s="1" t="s">
        <v>5440</v>
      </c>
      <c r="F2753" s="2">
        <v>85</v>
      </c>
      <c r="G2753" s="3">
        <v>91.8</v>
      </c>
      <c r="H2753" s="4" t="str">
        <f>IF(AND(A2753="Yes",C2753="School"),COUNTIFS($A$6:A2753,"Yes",$C$6:C2753,"School"),"")</f>
        <v/>
      </c>
    </row>
    <row r="2754" spans="1:8">
      <c r="A2754" s="13"/>
      <c r="B2754" s="1" t="s">
        <v>5366</v>
      </c>
      <c r="C2754" s="1" t="s">
        <v>24</v>
      </c>
      <c r="D2754" s="1" t="s">
        <v>5441</v>
      </c>
      <c r="E2754" s="1" t="s">
        <v>5442</v>
      </c>
      <c r="F2754" s="2">
        <v>825</v>
      </c>
      <c r="G2754" s="3">
        <v>35.4</v>
      </c>
      <c r="H2754" s="4" t="str">
        <f>IF(AND(A2754="Yes",C2754="School"),COUNTIFS($A$6:A2754,"Yes",$C$6:C2754,"School"),"")</f>
        <v/>
      </c>
    </row>
    <row r="2755" spans="1:8">
      <c r="A2755" s="13"/>
      <c r="B2755" s="1" t="s">
        <v>5366</v>
      </c>
      <c r="C2755" s="1" t="s">
        <v>24</v>
      </c>
      <c r="D2755" s="1" t="s">
        <v>5443</v>
      </c>
      <c r="E2755" s="1" t="s">
        <v>5444</v>
      </c>
      <c r="F2755" s="2">
        <v>826</v>
      </c>
      <c r="G2755" s="3">
        <v>30.5</v>
      </c>
      <c r="H2755" s="4" t="str">
        <f>IF(AND(A2755="Yes",C2755="School"),COUNTIFS($A$6:A2755,"Yes",$C$6:C2755,"School"),"")</f>
        <v/>
      </c>
    </row>
    <row r="2756" spans="1:8">
      <c r="A2756" s="13"/>
      <c r="B2756" s="1" t="s">
        <v>5366</v>
      </c>
      <c r="C2756" s="1" t="s">
        <v>24</v>
      </c>
      <c r="D2756" s="1" t="s">
        <v>5445</v>
      </c>
      <c r="E2756" s="1" t="s">
        <v>5446</v>
      </c>
      <c r="F2756" s="2">
        <v>108</v>
      </c>
      <c r="G2756" s="3">
        <v>54.6</v>
      </c>
      <c r="H2756" s="4" t="str">
        <f>IF(AND(A2756="Yes",C2756="School"),COUNTIFS($A$6:A2756,"Yes",$C$6:C2756,"School"),"")</f>
        <v/>
      </c>
    </row>
    <row r="2757" spans="1:8">
      <c r="A2757" s="13"/>
      <c r="B2757" s="1" t="s">
        <v>5366</v>
      </c>
      <c r="C2757" s="1" t="s">
        <v>24</v>
      </c>
      <c r="D2757" s="1" t="s">
        <v>4072</v>
      </c>
      <c r="E2757" s="1" t="s">
        <v>5447</v>
      </c>
      <c r="F2757" s="2">
        <v>533</v>
      </c>
      <c r="G2757" s="3">
        <v>84.6</v>
      </c>
      <c r="H2757" s="4" t="str">
        <f>IF(AND(A2757="Yes",C2757="School"),COUNTIFS($A$6:A2757,"Yes",$C$6:C2757,"School"),"")</f>
        <v/>
      </c>
    </row>
    <row r="2758" spans="1:8">
      <c r="A2758" s="13"/>
      <c r="B2758" s="1" t="s">
        <v>5366</v>
      </c>
      <c r="C2758" s="1" t="s">
        <v>24</v>
      </c>
      <c r="D2758" s="1" t="s">
        <v>5448</v>
      </c>
      <c r="E2758" s="1" t="s">
        <v>5449</v>
      </c>
      <c r="F2758" s="2">
        <v>721</v>
      </c>
      <c r="G2758" s="3">
        <v>84.3</v>
      </c>
      <c r="H2758" s="4" t="str">
        <f>IF(AND(A2758="Yes",C2758="School"),COUNTIFS($A$6:A2758,"Yes",$C$6:C2758,"School"),"")</f>
        <v/>
      </c>
    </row>
    <row r="2759" spans="1:8">
      <c r="A2759" s="13"/>
      <c r="B2759" s="1" t="s">
        <v>5366</v>
      </c>
      <c r="C2759" s="1" t="s">
        <v>24</v>
      </c>
      <c r="D2759" s="1" t="s">
        <v>5450</v>
      </c>
      <c r="E2759" s="1" t="s">
        <v>5451</v>
      </c>
      <c r="F2759" s="2">
        <v>487</v>
      </c>
      <c r="G2759" s="3">
        <v>66.5</v>
      </c>
      <c r="H2759" s="4" t="str">
        <f>IF(AND(A2759="Yes",C2759="School"),COUNTIFS($A$6:A2759,"Yes",$C$6:C2759,"School"),"")</f>
        <v/>
      </c>
    </row>
    <row r="2760" spans="1:8">
      <c r="A2760" s="13"/>
      <c r="B2760" s="1" t="s">
        <v>5366</v>
      </c>
      <c r="C2760" s="1" t="s">
        <v>24</v>
      </c>
      <c r="D2760" s="1" t="s">
        <v>5452</v>
      </c>
      <c r="E2760" s="1" t="s">
        <v>5453</v>
      </c>
      <c r="F2760" s="2">
        <v>1370</v>
      </c>
      <c r="G2760" s="3">
        <v>49.2</v>
      </c>
      <c r="H2760" s="4" t="str">
        <f>IF(AND(A2760="Yes",C2760="School"),COUNTIFS($A$6:A2760,"Yes",$C$6:C2760,"School"),"")</f>
        <v/>
      </c>
    </row>
    <row r="2761" spans="1:8">
      <c r="A2761" s="13"/>
      <c r="B2761" s="1" t="s">
        <v>5366</v>
      </c>
      <c r="C2761" s="1" t="s">
        <v>24</v>
      </c>
      <c r="D2761" s="1" t="s">
        <v>5454</v>
      </c>
      <c r="E2761" s="1" t="s">
        <v>5455</v>
      </c>
      <c r="F2761" s="2">
        <v>1019</v>
      </c>
      <c r="G2761" s="3">
        <v>70.8</v>
      </c>
      <c r="H2761" s="4" t="str">
        <f>IF(AND(A2761="Yes",C2761="School"),COUNTIFS($A$6:A2761,"Yes",$C$6:C2761,"School"),"")</f>
        <v/>
      </c>
    </row>
    <row r="2762" spans="1:8">
      <c r="A2762" s="13"/>
      <c r="B2762" s="1" t="s">
        <v>5366</v>
      </c>
      <c r="C2762" s="1" t="s">
        <v>24</v>
      </c>
      <c r="D2762" s="1" t="s">
        <v>5456</v>
      </c>
      <c r="E2762" s="1" t="s">
        <v>5457</v>
      </c>
      <c r="F2762" s="2">
        <v>457</v>
      </c>
      <c r="G2762" s="3">
        <v>84.2</v>
      </c>
      <c r="H2762" s="4" t="str">
        <f>IF(AND(A2762="Yes",C2762="School"),COUNTIFS($A$6:A2762,"Yes",$C$6:C2762,"School"),"")</f>
        <v/>
      </c>
    </row>
    <row r="2763" spans="1:8">
      <c r="A2763" s="13"/>
      <c r="B2763" s="1" t="s">
        <v>5366</v>
      </c>
      <c r="C2763" s="1" t="s">
        <v>24</v>
      </c>
      <c r="D2763" s="1" t="s">
        <v>5458</v>
      </c>
      <c r="E2763" s="1" t="s">
        <v>5459</v>
      </c>
      <c r="F2763" s="2">
        <v>638</v>
      </c>
      <c r="G2763" s="3">
        <v>72.7</v>
      </c>
      <c r="H2763" s="4" t="str">
        <f>IF(AND(A2763="Yes",C2763="School"),COUNTIFS($A$6:A2763,"Yes",$C$6:C2763,"School"),"")</f>
        <v/>
      </c>
    </row>
    <row r="2764" spans="1:8">
      <c r="A2764" s="13"/>
      <c r="B2764" s="1" t="s">
        <v>5366</v>
      </c>
      <c r="C2764" s="1" t="s">
        <v>24</v>
      </c>
      <c r="D2764" s="1" t="s">
        <v>5460</v>
      </c>
      <c r="E2764" s="1" t="s">
        <v>5461</v>
      </c>
      <c r="F2764" s="2">
        <v>384</v>
      </c>
      <c r="G2764" s="3">
        <v>49</v>
      </c>
      <c r="H2764" s="4" t="str">
        <f>IF(AND(A2764="Yes",C2764="School"),COUNTIFS($A$6:A2764,"Yes",$C$6:C2764,"School"),"")</f>
        <v/>
      </c>
    </row>
    <row r="2765" spans="1:8">
      <c r="A2765" s="13"/>
      <c r="B2765" s="1" t="s">
        <v>5366</v>
      </c>
      <c r="C2765" s="1" t="s">
        <v>24</v>
      </c>
      <c r="D2765" s="1" t="s">
        <v>5462</v>
      </c>
      <c r="E2765" s="1" t="s">
        <v>5463</v>
      </c>
      <c r="F2765" s="2">
        <v>641</v>
      </c>
      <c r="G2765" s="3">
        <v>77.7</v>
      </c>
      <c r="H2765" s="4" t="str">
        <f>IF(AND(A2765="Yes",C2765="School"),COUNTIFS($A$6:A2765,"Yes",$C$6:C2765,"School"),"")</f>
        <v/>
      </c>
    </row>
    <row r="2766" spans="1:8">
      <c r="A2766" s="13"/>
      <c r="B2766" s="1" t="s">
        <v>5366</v>
      </c>
      <c r="C2766" s="1" t="s">
        <v>24</v>
      </c>
      <c r="D2766" s="1" t="s">
        <v>5464</v>
      </c>
      <c r="E2766" s="1" t="s">
        <v>5465</v>
      </c>
      <c r="F2766" s="2">
        <v>563</v>
      </c>
      <c r="G2766" s="3">
        <v>68.400000000000006</v>
      </c>
      <c r="H2766" s="4" t="str">
        <f>IF(AND(A2766="Yes",C2766="School"),COUNTIFS($A$6:A2766,"Yes",$C$6:C2766,"School"),"")</f>
        <v/>
      </c>
    </row>
    <row r="2767" spans="1:8">
      <c r="A2767" s="13"/>
      <c r="B2767" s="1" t="s">
        <v>5366</v>
      </c>
      <c r="C2767" s="1" t="s">
        <v>24</v>
      </c>
      <c r="D2767" s="1" t="s">
        <v>5466</v>
      </c>
      <c r="E2767" s="1" t="s">
        <v>5467</v>
      </c>
      <c r="F2767" s="2">
        <v>1398</v>
      </c>
      <c r="G2767" s="3">
        <v>71.599999999999994</v>
      </c>
      <c r="H2767" s="4" t="str">
        <f>IF(AND(A2767="Yes",C2767="School"),COUNTIFS($A$6:A2767,"Yes",$C$6:C2767,"School"),"")</f>
        <v/>
      </c>
    </row>
    <row r="2768" spans="1:8">
      <c r="A2768" s="13"/>
      <c r="B2768" s="1" t="s">
        <v>5366</v>
      </c>
      <c r="C2768" s="1" t="s">
        <v>24</v>
      </c>
      <c r="D2768" s="1" t="s">
        <v>5468</v>
      </c>
      <c r="E2768" s="1" t="s">
        <v>5469</v>
      </c>
      <c r="F2768" s="2">
        <v>474</v>
      </c>
      <c r="G2768" s="3">
        <v>90.1</v>
      </c>
      <c r="H2768" s="4" t="str">
        <f>IF(AND(A2768="Yes",C2768="School"),COUNTIFS($A$6:A2768,"Yes",$C$6:C2768,"School"),"")</f>
        <v/>
      </c>
    </row>
    <row r="2769" spans="1:8">
      <c r="A2769" s="13"/>
      <c r="B2769" s="1" t="s">
        <v>5366</v>
      </c>
      <c r="C2769" s="1" t="s">
        <v>24</v>
      </c>
      <c r="D2769" s="1" t="s">
        <v>1128</v>
      </c>
      <c r="E2769" s="1" t="s">
        <v>5470</v>
      </c>
      <c r="F2769" s="2">
        <v>629</v>
      </c>
      <c r="G2769" s="3">
        <v>39.6</v>
      </c>
      <c r="H2769" s="4" t="str">
        <f>IF(AND(A2769="Yes",C2769="School"),COUNTIFS($A$6:A2769,"Yes",$C$6:C2769,"School"),"")</f>
        <v/>
      </c>
    </row>
    <row r="2770" spans="1:8">
      <c r="A2770" s="13"/>
      <c r="B2770" s="1" t="s">
        <v>5366</v>
      </c>
      <c r="C2770" s="1" t="s">
        <v>24</v>
      </c>
      <c r="D2770" s="1" t="s">
        <v>5471</v>
      </c>
      <c r="E2770" s="1" t="s">
        <v>5472</v>
      </c>
      <c r="F2770" s="2">
        <v>1655</v>
      </c>
      <c r="G2770" s="3">
        <v>52.5</v>
      </c>
      <c r="H2770" s="4" t="str">
        <f>IF(AND(A2770="Yes",C2770="School"),COUNTIFS($A$6:A2770,"Yes",$C$6:C2770,"School"),"")</f>
        <v/>
      </c>
    </row>
    <row r="2771" spans="1:8">
      <c r="A2771" s="13"/>
      <c r="B2771" s="1" t="s">
        <v>5366</v>
      </c>
      <c r="C2771" s="1" t="s">
        <v>24</v>
      </c>
      <c r="D2771" s="1" t="s">
        <v>5473</v>
      </c>
      <c r="E2771" s="1" t="s">
        <v>5474</v>
      </c>
      <c r="F2771" s="2">
        <v>1248</v>
      </c>
      <c r="G2771" s="3">
        <v>64</v>
      </c>
      <c r="H2771" s="4" t="str">
        <f>IF(AND(A2771="Yes",C2771="School"),COUNTIFS($A$6:A2771,"Yes",$C$6:C2771,"School"),"")</f>
        <v/>
      </c>
    </row>
    <row r="2772" spans="1:8">
      <c r="A2772" s="13"/>
      <c r="B2772" s="1" t="s">
        <v>5366</v>
      </c>
      <c r="C2772" s="1" t="s">
        <v>24</v>
      </c>
      <c r="D2772" s="1" t="s">
        <v>5475</v>
      </c>
      <c r="E2772" s="1" t="s">
        <v>5476</v>
      </c>
      <c r="F2772" s="2">
        <v>2090</v>
      </c>
      <c r="G2772" s="3">
        <v>32</v>
      </c>
      <c r="H2772" s="4" t="str">
        <f>IF(AND(A2772="Yes",C2772="School"),COUNTIFS($A$6:A2772,"Yes",$C$6:C2772,"School"),"")</f>
        <v/>
      </c>
    </row>
    <row r="2773" spans="1:8">
      <c r="A2773" s="13"/>
      <c r="B2773" s="1" t="s">
        <v>5366</v>
      </c>
      <c r="C2773" s="1" t="s">
        <v>24</v>
      </c>
      <c r="D2773" s="1" t="s">
        <v>5477</v>
      </c>
      <c r="E2773" s="1" t="s">
        <v>5478</v>
      </c>
      <c r="F2773" s="2">
        <v>406</v>
      </c>
      <c r="G2773" s="3">
        <v>68</v>
      </c>
      <c r="H2773" s="4" t="str">
        <f>IF(AND(A2773="Yes",C2773="School"),COUNTIFS($A$6:A2773,"Yes",$C$6:C2773,"School"),"")</f>
        <v/>
      </c>
    </row>
    <row r="2774" spans="1:8">
      <c r="A2774" s="13"/>
      <c r="B2774" s="1" t="s">
        <v>5366</v>
      </c>
      <c r="C2774" s="1" t="s">
        <v>24</v>
      </c>
      <c r="D2774" s="1" t="s">
        <v>5479</v>
      </c>
      <c r="E2774" s="1" t="s">
        <v>5480</v>
      </c>
      <c r="F2774" s="2">
        <v>703</v>
      </c>
      <c r="G2774" s="3">
        <v>49.1</v>
      </c>
      <c r="H2774" s="4" t="str">
        <f>IF(AND(A2774="Yes",C2774="School"),COUNTIFS($A$6:A2774,"Yes",$C$6:C2774,"School"),"")</f>
        <v/>
      </c>
    </row>
    <row r="2775" spans="1:8">
      <c r="A2775" s="13"/>
      <c r="B2775" s="1" t="s">
        <v>5366</v>
      </c>
      <c r="C2775" s="1" t="s">
        <v>24</v>
      </c>
      <c r="D2775" s="1" t="s">
        <v>5481</v>
      </c>
      <c r="E2775" s="1" t="s">
        <v>5482</v>
      </c>
      <c r="F2775" s="2">
        <v>619</v>
      </c>
      <c r="G2775" s="3">
        <v>17.100000000000001</v>
      </c>
      <c r="H2775" s="4" t="str">
        <f>IF(AND(A2775="Yes",C2775="School"),COUNTIFS($A$6:A2775,"Yes",$C$6:C2775,"School"),"")</f>
        <v/>
      </c>
    </row>
    <row r="2776" spans="1:8">
      <c r="A2776" s="13"/>
      <c r="B2776" s="1" t="s">
        <v>5366</v>
      </c>
      <c r="C2776" s="1" t="s">
        <v>24</v>
      </c>
      <c r="D2776" s="1" t="s">
        <v>5483</v>
      </c>
      <c r="E2776" s="1" t="s">
        <v>5484</v>
      </c>
      <c r="F2776" s="2">
        <v>441</v>
      </c>
      <c r="G2776" s="3">
        <v>72.099999999999994</v>
      </c>
      <c r="H2776" s="4" t="str">
        <f>IF(AND(A2776="Yes",C2776="School"),COUNTIFS($A$6:A2776,"Yes",$C$6:C2776,"School"),"")</f>
        <v/>
      </c>
    </row>
    <row r="2777" spans="1:8">
      <c r="A2777" s="13"/>
      <c r="B2777" s="1" t="s">
        <v>5366</v>
      </c>
      <c r="C2777" s="1" t="s">
        <v>24</v>
      </c>
      <c r="D2777" s="1" t="s">
        <v>5485</v>
      </c>
      <c r="E2777" s="1" t="s">
        <v>5486</v>
      </c>
      <c r="F2777" s="2">
        <v>489</v>
      </c>
      <c r="G2777" s="3">
        <v>77.7</v>
      </c>
      <c r="H2777" s="4" t="str">
        <f>IF(AND(A2777="Yes",C2777="School"),COUNTIFS($A$6:A2777,"Yes",$C$6:C2777,"School"),"")</f>
        <v/>
      </c>
    </row>
    <row r="2778" spans="1:8">
      <c r="A2778" s="13"/>
      <c r="B2778" s="1" t="s">
        <v>5366</v>
      </c>
      <c r="C2778" s="1" t="s">
        <v>24</v>
      </c>
      <c r="D2778" s="1" t="s">
        <v>4213</v>
      </c>
      <c r="E2778" s="1" t="s">
        <v>5487</v>
      </c>
      <c r="F2778" s="2">
        <v>621</v>
      </c>
      <c r="G2778" s="3">
        <v>59.1</v>
      </c>
      <c r="H2778" s="4" t="str">
        <f>IF(AND(A2778="Yes",C2778="School"),COUNTIFS($A$6:A2778,"Yes",$C$6:C2778,"School"),"")</f>
        <v/>
      </c>
    </row>
    <row r="2779" spans="1:8">
      <c r="A2779" s="13"/>
      <c r="B2779" s="1" t="s">
        <v>5366</v>
      </c>
      <c r="C2779" s="1" t="s">
        <v>24</v>
      </c>
      <c r="D2779" s="1" t="s">
        <v>1955</v>
      </c>
      <c r="E2779" s="1" t="s">
        <v>5488</v>
      </c>
      <c r="F2779" s="2">
        <v>503</v>
      </c>
      <c r="G2779" s="3">
        <v>37.4</v>
      </c>
      <c r="H2779" s="4" t="str">
        <f>IF(AND(A2779="Yes",C2779="School"),COUNTIFS($A$6:A2779,"Yes",$C$6:C2779,"School"),"")</f>
        <v/>
      </c>
    </row>
    <row r="2780" spans="1:8">
      <c r="A2780" s="13"/>
      <c r="B2780" s="1" t="s">
        <v>5366</v>
      </c>
      <c r="C2780" s="1" t="s">
        <v>24</v>
      </c>
      <c r="D2780" s="1" t="s">
        <v>5489</v>
      </c>
      <c r="E2780" s="1" t="s">
        <v>5490</v>
      </c>
      <c r="F2780" s="2">
        <v>762</v>
      </c>
      <c r="G2780" s="3">
        <v>51.2</v>
      </c>
      <c r="H2780" s="4" t="str">
        <f>IF(AND(A2780="Yes",C2780="School"),COUNTIFS($A$6:A2780,"Yes",$C$6:C2780,"School"),"")</f>
        <v/>
      </c>
    </row>
    <row r="2781" spans="1:8">
      <c r="A2781" s="13"/>
      <c r="B2781" s="1" t="s">
        <v>5366</v>
      </c>
      <c r="C2781" s="1" t="s">
        <v>24</v>
      </c>
      <c r="D2781" s="1" t="s">
        <v>5491</v>
      </c>
      <c r="E2781" s="1" t="s">
        <v>5492</v>
      </c>
      <c r="F2781" s="2">
        <v>451</v>
      </c>
      <c r="G2781" s="3">
        <v>29.3</v>
      </c>
      <c r="H2781" s="4" t="str">
        <f>IF(AND(A2781="Yes",C2781="School"),COUNTIFS($A$6:A2781,"Yes",$C$6:C2781,"School"),"")</f>
        <v/>
      </c>
    </row>
    <row r="2782" spans="1:8">
      <c r="A2782" s="13"/>
      <c r="B2782" s="1" t="s">
        <v>5366</v>
      </c>
      <c r="C2782" s="1" t="s">
        <v>24</v>
      </c>
      <c r="D2782" s="1" t="s">
        <v>5493</v>
      </c>
      <c r="E2782" s="1" t="s">
        <v>5494</v>
      </c>
      <c r="F2782" s="2">
        <v>78</v>
      </c>
      <c r="G2782" s="3">
        <v>74.400000000000006</v>
      </c>
      <c r="H2782" s="4" t="str">
        <f>IF(AND(A2782="Yes",C2782="School"),COUNTIFS($A$6:A2782,"Yes",$C$6:C2782,"School"),"")</f>
        <v/>
      </c>
    </row>
    <row r="2783" spans="1:8">
      <c r="A2783" s="13"/>
      <c r="B2783" s="1" t="s">
        <v>5366</v>
      </c>
      <c r="C2783" s="1" t="s">
        <v>24</v>
      </c>
      <c r="D2783" s="1" t="s">
        <v>5495</v>
      </c>
      <c r="E2783" s="1" t="s">
        <v>5496</v>
      </c>
      <c r="F2783" s="2">
        <v>779</v>
      </c>
      <c r="G2783" s="3">
        <v>32.1</v>
      </c>
      <c r="H2783" s="4" t="str">
        <f>IF(AND(A2783="Yes",C2783="School"),COUNTIFS($A$6:A2783,"Yes",$C$6:C2783,"School"),"")</f>
        <v/>
      </c>
    </row>
    <row r="2784" spans="1:8">
      <c r="A2784" s="13"/>
      <c r="B2784" s="1" t="s">
        <v>5366</v>
      </c>
      <c r="C2784" s="1" t="s">
        <v>24</v>
      </c>
      <c r="D2784" s="1" t="s">
        <v>5497</v>
      </c>
      <c r="E2784" s="1" t="s">
        <v>5498</v>
      </c>
      <c r="F2784" s="2">
        <v>562</v>
      </c>
      <c r="G2784" s="3">
        <v>62.5</v>
      </c>
      <c r="H2784" s="4" t="str">
        <f>IF(AND(A2784="Yes",C2784="School"),COUNTIFS($A$6:A2784,"Yes",$C$6:C2784,"School"),"")</f>
        <v/>
      </c>
    </row>
    <row r="2785" spans="1:8">
      <c r="A2785" s="13"/>
      <c r="B2785" s="1" t="s">
        <v>5366</v>
      </c>
      <c r="C2785" s="1" t="s">
        <v>24</v>
      </c>
      <c r="D2785" s="1" t="s">
        <v>5499</v>
      </c>
      <c r="E2785" s="1" t="s">
        <v>5500</v>
      </c>
      <c r="F2785" s="2">
        <v>760</v>
      </c>
      <c r="G2785" s="3">
        <v>30.4</v>
      </c>
      <c r="H2785" s="4" t="str">
        <f>IF(AND(A2785="Yes",C2785="School"),COUNTIFS($A$6:A2785,"Yes",$C$6:C2785,"School"),"")</f>
        <v/>
      </c>
    </row>
    <row r="2786" spans="1:8">
      <c r="A2786" s="13"/>
      <c r="B2786" s="1" t="s">
        <v>5366</v>
      </c>
      <c r="C2786" s="1" t="s">
        <v>24</v>
      </c>
      <c r="D2786" s="1" t="s">
        <v>5501</v>
      </c>
      <c r="E2786" s="1" t="s">
        <v>5502</v>
      </c>
      <c r="F2786" s="2">
        <v>578</v>
      </c>
      <c r="G2786" s="3">
        <v>69.7</v>
      </c>
      <c r="H2786" s="4" t="str">
        <f>IF(AND(A2786="Yes",C2786="School"),COUNTIFS($A$6:A2786,"Yes",$C$6:C2786,"School"),"")</f>
        <v/>
      </c>
    </row>
    <row r="2787" spans="1:8">
      <c r="A2787" s="13"/>
      <c r="B2787" s="1" t="s">
        <v>5366</v>
      </c>
      <c r="C2787" s="1" t="s">
        <v>24</v>
      </c>
      <c r="D2787" s="1" t="s">
        <v>5503</v>
      </c>
      <c r="E2787" s="1" t="s">
        <v>5504</v>
      </c>
      <c r="F2787" s="2">
        <v>592</v>
      </c>
      <c r="G2787" s="3">
        <v>55.9</v>
      </c>
      <c r="H2787" s="4" t="str">
        <f>IF(AND(A2787="Yes",C2787="School"),COUNTIFS($A$6:A2787,"Yes",$C$6:C2787,"School"),"")</f>
        <v/>
      </c>
    </row>
    <row r="2788" spans="1:8">
      <c r="A2788" s="13"/>
      <c r="B2788" s="1" t="s">
        <v>5366</v>
      </c>
      <c r="C2788" s="1" t="s">
        <v>24</v>
      </c>
      <c r="D2788" s="1" t="s">
        <v>5505</v>
      </c>
      <c r="E2788" s="1" t="s">
        <v>5506</v>
      </c>
      <c r="F2788" s="2">
        <v>596</v>
      </c>
      <c r="G2788" s="3">
        <v>68.3</v>
      </c>
      <c r="H2788" s="4" t="str">
        <f>IF(AND(A2788="Yes",C2788="School"),COUNTIFS($A$6:A2788,"Yes",$C$6:C2788,"School"),"")</f>
        <v/>
      </c>
    </row>
    <row r="2789" spans="1:8">
      <c r="A2789" s="13"/>
      <c r="B2789" s="1" t="s">
        <v>5366</v>
      </c>
      <c r="C2789" s="1" t="s">
        <v>24</v>
      </c>
      <c r="D2789" s="1" t="s">
        <v>5507</v>
      </c>
      <c r="E2789" s="1" t="s">
        <v>5508</v>
      </c>
      <c r="F2789" s="2">
        <v>481</v>
      </c>
      <c r="G2789" s="3">
        <v>68.2</v>
      </c>
      <c r="H2789" s="4" t="str">
        <f>IF(AND(A2789="Yes",C2789="School"),COUNTIFS($A$6:A2789,"Yes",$C$6:C2789,"School"),"")</f>
        <v/>
      </c>
    </row>
    <row r="2790" spans="1:8">
      <c r="A2790" s="13"/>
      <c r="B2790" s="1" t="s">
        <v>5366</v>
      </c>
      <c r="C2790" s="1" t="s">
        <v>24</v>
      </c>
      <c r="D2790" s="1" t="s">
        <v>5509</v>
      </c>
      <c r="E2790" s="1" t="s">
        <v>5510</v>
      </c>
      <c r="F2790" s="2">
        <v>2035</v>
      </c>
      <c r="G2790" s="3">
        <v>41.6</v>
      </c>
      <c r="H2790" s="4" t="str">
        <f>IF(AND(A2790="Yes",C2790="School"),COUNTIFS($A$6:A2790,"Yes",$C$6:C2790,"School"),"")</f>
        <v/>
      </c>
    </row>
    <row r="2791" spans="1:8">
      <c r="A2791" s="13"/>
      <c r="B2791" s="1" t="s">
        <v>5366</v>
      </c>
      <c r="C2791" s="1" t="s">
        <v>24</v>
      </c>
      <c r="D2791" s="1" t="s">
        <v>5511</v>
      </c>
      <c r="E2791" s="1" t="s">
        <v>5512</v>
      </c>
      <c r="F2791" s="2">
        <v>500</v>
      </c>
      <c r="G2791" s="3">
        <v>27</v>
      </c>
      <c r="H2791" s="4" t="str">
        <f>IF(AND(A2791="Yes",C2791="School"),COUNTIFS($A$6:A2791,"Yes",$C$6:C2791,"School"),"")</f>
        <v/>
      </c>
    </row>
    <row r="2792" spans="1:8">
      <c r="A2792" s="13"/>
      <c r="B2792" s="1" t="s">
        <v>5366</v>
      </c>
      <c r="C2792" s="1" t="s">
        <v>24</v>
      </c>
      <c r="D2792" s="1" t="s">
        <v>5513</v>
      </c>
      <c r="E2792" s="1" t="s">
        <v>5514</v>
      </c>
      <c r="F2792" s="2">
        <v>714</v>
      </c>
      <c r="G2792" s="3">
        <v>60.2</v>
      </c>
      <c r="H2792" s="4" t="str">
        <f>IF(AND(A2792="Yes",C2792="School"),COUNTIFS($A$6:A2792,"Yes",$C$6:C2792,"School"),"")</f>
        <v/>
      </c>
    </row>
    <row r="2793" spans="1:8">
      <c r="A2793" s="13"/>
      <c r="B2793" s="1" t="s">
        <v>5366</v>
      </c>
      <c r="C2793" s="1" t="s">
        <v>24</v>
      </c>
      <c r="D2793" s="1" t="s">
        <v>5515</v>
      </c>
      <c r="E2793" s="1" t="s">
        <v>5516</v>
      </c>
      <c r="F2793" s="2">
        <v>475</v>
      </c>
      <c r="G2793" s="3">
        <v>80.599999999999994</v>
      </c>
      <c r="H2793" s="4" t="str">
        <f>IF(AND(A2793="Yes",C2793="School"),COUNTIFS($A$6:A2793,"Yes",$C$6:C2793,"School"),"")</f>
        <v/>
      </c>
    </row>
    <row r="2794" spans="1:8">
      <c r="A2794" s="13"/>
      <c r="B2794" s="1" t="s">
        <v>5517</v>
      </c>
      <c r="C2794" s="1" t="s">
        <v>24</v>
      </c>
      <c r="D2794" s="1" t="s">
        <v>5517</v>
      </c>
      <c r="E2794" s="1" t="s">
        <v>5518</v>
      </c>
      <c r="F2794" s="2">
        <v>529</v>
      </c>
      <c r="G2794" s="3">
        <v>69.8</v>
      </c>
      <c r="H2794" s="4" t="str">
        <f>IF(AND(A2794="Yes",C2794="School"),COUNTIFS($A$6:A2794,"Yes",$C$6:C2794,"School"),"")</f>
        <v/>
      </c>
    </row>
    <row r="2795" spans="1:8">
      <c r="A2795" s="13"/>
      <c r="B2795" s="1" t="s">
        <v>5519</v>
      </c>
      <c r="C2795" s="1" t="s">
        <v>24</v>
      </c>
      <c r="D2795" s="1" t="s">
        <v>5519</v>
      </c>
      <c r="E2795" s="1" t="s">
        <v>5520</v>
      </c>
      <c r="F2795" s="2">
        <v>510</v>
      </c>
      <c r="G2795" s="3">
        <v>13.3</v>
      </c>
      <c r="H2795" s="4" t="str">
        <f>IF(AND(A2795="Yes",C2795="School"),COUNTIFS($A$6:A2795,"Yes",$C$6:C2795,"School"),"")</f>
        <v/>
      </c>
    </row>
    <row r="2796" spans="1:8">
      <c r="A2796" s="13"/>
      <c r="B2796" s="1" t="s">
        <v>5521</v>
      </c>
      <c r="C2796" s="1" t="s">
        <v>40</v>
      </c>
      <c r="D2796" s="1" t="s">
        <v>41</v>
      </c>
      <c r="E2796" s="1" t="s">
        <v>5522</v>
      </c>
      <c r="F2796" s="2">
        <v>4907</v>
      </c>
      <c r="G2796" s="3">
        <v>51.7</v>
      </c>
      <c r="H2796" s="4" t="str">
        <f>IF(AND(A2796="Yes",C2796="School"),COUNTIFS($A$6:A2796,"Yes",$C$6:C2796,"School"),"")</f>
        <v/>
      </c>
    </row>
    <row r="2797" spans="1:8">
      <c r="A2797" s="13"/>
      <c r="B2797" s="1" t="s">
        <v>5521</v>
      </c>
      <c r="C2797" s="1" t="s">
        <v>24</v>
      </c>
      <c r="D2797" s="1" t="s">
        <v>5523</v>
      </c>
      <c r="E2797" s="1" t="s">
        <v>5524</v>
      </c>
      <c r="F2797" s="2">
        <v>351</v>
      </c>
      <c r="G2797" s="3">
        <v>52.7</v>
      </c>
      <c r="H2797" s="4" t="str">
        <f>IF(AND(A2797="Yes",C2797="School"),COUNTIFS($A$6:A2797,"Yes",$C$6:C2797,"School"),"")</f>
        <v/>
      </c>
    </row>
    <row r="2798" spans="1:8">
      <c r="A2798" s="13"/>
      <c r="B2798" s="1" t="s">
        <v>5521</v>
      </c>
      <c r="C2798" s="1" t="s">
        <v>24</v>
      </c>
      <c r="D2798" s="1" t="s">
        <v>5525</v>
      </c>
      <c r="E2798" s="1" t="s">
        <v>5526</v>
      </c>
      <c r="F2798" s="2">
        <v>270</v>
      </c>
      <c r="G2798" s="3">
        <v>51.9</v>
      </c>
      <c r="H2798" s="4" t="str">
        <f>IF(AND(A2798="Yes",C2798="School"),COUNTIFS($A$6:A2798,"Yes",$C$6:C2798,"School"),"")</f>
        <v/>
      </c>
    </row>
    <row r="2799" spans="1:8">
      <c r="A2799" s="13"/>
      <c r="B2799" s="1" t="s">
        <v>5521</v>
      </c>
      <c r="C2799" s="1" t="s">
        <v>24</v>
      </c>
      <c r="D2799" s="1" t="s">
        <v>5527</v>
      </c>
      <c r="E2799" s="1" t="s">
        <v>5528</v>
      </c>
      <c r="F2799" s="2">
        <v>233</v>
      </c>
      <c r="G2799" s="3">
        <v>56.7</v>
      </c>
      <c r="H2799" s="4" t="str">
        <f>IF(AND(A2799="Yes",C2799="School"),COUNTIFS($A$6:A2799,"Yes",$C$6:C2799,"School"),"")</f>
        <v/>
      </c>
    </row>
    <row r="2800" spans="1:8">
      <c r="A2800" s="13"/>
      <c r="B2800" s="1" t="s">
        <v>5521</v>
      </c>
      <c r="C2800" s="1" t="s">
        <v>24</v>
      </c>
      <c r="D2800" s="1" t="s">
        <v>5529</v>
      </c>
      <c r="E2800" s="1" t="s">
        <v>5530</v>
      </c>
      <c r="F2800" s="2">
        <v>243</v>
      </c>
      <c r="G2800" s="3">
        <v>43.2</v>
      </c>
      <c r="H2800" s="4" t="str">
        <f>IF(AND(A2800="Yes",C2800="School"),COUNTIFS($A$6:A2800,"Yes",$C$6:C2800,"School"),"")</f>
        <v/>
      </c>
    </row>
    <row r="2801" spans="1:8">
      <c r="A2801" s="13"/>
      <c r="B2801" s="1" t="s">
        <v>5521</v>
      </c>
      <c r="C2801" s="1" t="s">
        <v>24</v>
      </c>
      <c r="D2801" s="1" t="s">
        <v>5531</v>
      </c>
      <c r="E2801" s="1" t="s">
        <v>5532</v>
      </c>
      <c r="F2801" s="2">
        <v>220</v>
      </c>
      <c r="G2801" s="3">
        <v>33.6</v>
      </c>
      <c r="H2801" s="4" t="str">
        <f>IF(AND(A2801="Yes",C2801="School"),COUNTIFS($A$6:A2801,"Yes",$C$6:C2801,"School"),"")</f>
        <v/>
      </c>
    </row>
    <row r="2802" spans="1:8">
      <c r="A2802" s="13"/>
      <c r="B2802" s="1" t="s">
        <v>5521</v>
      </c>
      <c r="C2802" s="1" t="s">
        <v>24</v>
      </c>
      <c r="D2802" s="1" t="s">
        <v>5533</v>
      </c>
      <c r="E2802" s="1" t="s">
        <v>5534</v>
      </c>
      <c r="F2802" s="2">
        <v>695</v>
      </c>
      <c r="G2802" s="3">
        <v>49.6</v>
      </c>
      <c r="H2802" s="4" t="str">
        <f>IF(AND(A2802="Yes",C2802="School"),COUNTIFS($A$6:A2802,"Yes",$C$6:C2802,"School"),"")</f>
        <v/>
      </c>
    </row>
    <row r="2803" spans="1:8">
      <c r="A2803" s="13"/>
      <c r="B2803" s="1" t="s">
        <v>5521</v>
      </c>
      <c r="C2803" s="1" t="s">
        <v>24</v>
      </c>
      <c r="D2803" s="1" t="s">
        <v>5535</v>
      </c>
      <c r="E2803" s="1" t="s">
        <v>5536</v>
      </c>
      <c r="F2803" s="2">
        <v>582</v>
      </c>
      <c r="G2803" s="3">
        <v>45.5</v>
      </c>
      <c r="H2803" s="4" t="str">
        <f>IF(AND(A2803="Yes",C2803="School"),COUNTIFS($A$6:A2803,"Yes",$C$6:C2803,"School"),"")</f>
        <v/>
      </c>
    </row>
    <row r="2804" spans="1:8">
      <c r="A2804" s="13"/>
      <c r="B2804" s="1" t="s">
        <v>5521</v>
      </c>
      <c r="C2804" s="1" t="s">
        <v>24</v>
      </c>
      <c r="D2804" s="1" t="s">
        <v>5537</v>
      </c>
      <c r="E2804" s="1" t="s">
        <v>5538</v>
      </c>
      <c r="F2804" s="2">
        <v>258</v>
      </c>
      <c r="G2804" s="3">
        <v>68.599999999999994</v>
      </c>
      <c r="H2804" s="4" t="str">
        <f>IF(AND(A2804="Yes",C2804="School"),COUNTIFS($A$6:A2804,"Yes",$C$6:C2804,"School"),"")</f>
        <v/>
      </c>
    </row>
    <row r="2805" spans="1:8">
      <c r="A2805" s="13"/>
      <c r="B2805" s="1" t="s">
        <v>5521</v>
      </c>
      <c r="C2805" s="1" t="s">
        <v>24</v>
      </c>
      <c r="D2805" s="1" t="s">
        <v>5539</v>
      </c>
      <c r="E2805" s="1" t="s">
        <v>5540</v>
      </c>
      <c r="F2805" s="2">
        <v>517</v>
      </c>
      <c r="G2805" s="3">
        <v>54.7</v>
      </c>
      <c r="H2805" s="4" t="str">
        <f>IF(AND(A2805="Yes",C2805="School"),COUNTIFS($A$6:A2805,"Yes",$C$6:C2805,"School"),"")</f>
        <v/>
      </c>
    </row>
    <row r="2806" spans="1:8">
      <c r="A2806" s="13"/>
      <c r="B2806" s="1" t="s">
        <v>5521</v>
      </c>
      <c r="C2806" s="1" t="s">
        <v>24</v>
      </c>
      <c r="D2806" s="1" t="s">
        <v>5541</v>
      </c>
      <c r="E2806" s="1" t="s">
        <v>5542</v>
      </c>
      <c r="F2806" s="2">
        <v>470</v>
      </c>
      <c r="G2806" s="3">
        <v>52.1</v>
      </c>
      <c r="H2806" s="4" t="str">
        <f>IF(AND(A2806="Yes",C2806="School"),COUNTIFS($A$6:A2806,"Yes",$C$6:C2806,"School"),"")</f>
        <v/>
      </c>
    </row>
    <row r="2807" spans="1:8">
      <c r="A2807" s="13"/>
      <c r="B2807" s="1" t="s">
        <v>5521</v>
      </c>
      <c r="C2807" s="1" t="s">
        <v>24</v>
      </c>
      <c r="D2807" s="1" t="s">
        <v>5543</v>
      </c>
      <c r="E2807" s="1" t="s">
        <v>5544</v>
      </c>
      <c r="F2807" s="2">
        <v>389</v>
      </c>
      <c r="G2807" s="3">
        <v>56.8</v>
      </c>
      <c r="H2807" s="4" t="str">
        <f>IF(AND(A2807="Yes",C2807="School"),COUNTIFS($A$6:A2807,"Yes",$C$6:C2807,"School"),"")</f>
        <v/>
      </c>
    </row>
    <row r="2808" spans="1:8">
      <c r="A2808" s="13"/>
      <c r="B2808" s="1" t="s">
        <v>5521</v>
      </c>
      <c r="C2808" s="1" t="s">
        <v>24</v>
      </c>
      <c r="D2808" s="1" t="s">
        <v>5545</v>
      </c>
      <c r="E2808" s="1" t="s">
        <v>5546</v>
      </c>
      <c r="F2808" s="2">
        <v>190</v>
      </c>
      <c r="G2808" s="3">
        <v>40.5</v>
      </c>
      <c r="H2808" s="4" t="str">
        <f>IF(AND(A2808="Yes",C2808="School"),COUNTIFS($A$6:A2808,"Yes",$C$6:C2808,"School"),"")</f>
        <v/>
      </c>
    </row>
    <row r="2809" spans="1:8">
      <c r="A2809" s="13"/>
      <c r="B2809" s="1" t="s">
        <v>5521</v>
      </c>
      <c r="C2809" s="1" t="s">
        <v>24</v>
      </c>
      <c r="D2809" s="1" t="s">
        <v>5547</v>
      </c>
      <c r="E2809" s="1" t="s">
        <v>5548</v>
      </c>
      <c r="F2809" s="2">
        <v>43</v>
      </c>
      <c r="G2809" s="3">
        <v>83.7</v>
      </c>
      <c r="H2809" s="4" t="str">
        <f>IF(AND(A2809="Yes",C2809="School"),COUNTIFS($A$6:A2809,"Yes",$C$6:C2809,"School"),"")</f>
        <v/>
      </c>
    </row>
    <row r="2810" spans="1:8">
      <c r="A2810" s="13"/>
      <c r="B2810" s="1" t="s">
        <v>5521</v>
      </c>
      <c r="C2810" s="1" t="s">
        <v>24</v>
      </c>
      <c r="D2810" s="1" t="s">
        <v>5549</v>
      </c>
      <c r="E2810" s="1" t="s">
        <v>5550</v>
      </c>
      <c r="F2810" s="2">
        <v>446</v>
      </c>
      <c r="G2810" s="3">
        <v>57</v>
      </c>
      <c r="H2810" s="4" t="str">
        <f>IF(AND(A2810="Yes",C2810="School"),COUNTIFS($A$6:A2810,"Yes",$C$6:C2810,"School"),"")</f>
        <v/>
      </c>
    </row>
    <row r="2811" spans="1:8">
      <c r="A2811" s="13"/>
      <c r="B2811" s="1" t="s">
        <v>5551</v>
      </c>
      <c r="C2811" s="1" t="s">
        <v>40</v>
      </c>
      <c r="D2811" s="1" t="s">
        <v>41</v>
      </c>
      <c r="E2811" s="1" t="s">
        <v>5552</v>
      </c>
      <c r="F2811" s="2">
        <v>2002</v>
      </c>
      <c r="G2811" s="3">
        <v>51.2</v>
      </c>
      <c r="H2811" s="4" t="str">
        <f>IF(AND(A2811="Yes",C2811="School"),COUNTIFS($A$6:A2811,"Yes",$C$6:C2811,"School"),"")</f>
        <v/>
      </c>
    </row>
    <row r="2812" spans="1:8">
      <c r="A2812" s="13"/>
      <c r="B2812" s="1" t="s">
        <v>5551</v>
      </c>
      <c r="C2812" s="1" t="s">
        <v>24</v>
      </c>
      <c r="D2812" s="1" t="s">
        <v>203</v>
      </c>
      <c r="E2812" s="1" t="s">
        <v>5553</v>
      </c>
      <c r="F2812" s="2">
        <v>355</v>
      </c>
      <c r="G2812" s="3">
        <v>49.9</v>
      </c>
      <c r="H2812" s="4" t="str">
        <f>IF(AND(A2812="Yes",C2812="School"),COUNTIFS($A$6:A2812,"Yes",$C$6:C2812,"School"),"")</f>
        <v/>
      </c>
    </row>
    <row r="2813" spans="1:8">
      <c r="A2813" s="13"/>
      <c r="B2813" s="1" t="s">
        <v>5551</v>
      </c>
      <c r="C2813" s="1" t="s">
        <v>24</v>
      </c>
      <c r="D2813" s="1" t="s">
        <v>5554</v>
      </c>
      <c r="E2813" s="1" t="s">
        <v>5555</v>
      </c>
      <c r="F2813" s="2">
        <v>473</v>
      </c>
      <c r="G2813" s="3">
        <v>57.5</v>
      </c>
      <c r="H2813" s="4" t="str">
        <f>IF(AND(A2813="Yes",C2813="School"),COUNTIFS($A$6:A2813,"Yes",$C$6:C2813,"School"),"")</f>
        <v/>
      </c>
    </row>
    <row r="2814" spans="1:8">
      <c r="A2814" s="13"/>
      <c r="B2814" s="1" t="s">
        <v>5551</v>
      </c>
      <c r="C2814" s="1" t="s">
        <v>24</v>
      </c>
      <c r="D2814" s="1" t="s">
        <v>5556</v>
      </c>
      <c r="E2814" s="1" t="s">
        <v>5557</v>
      </c>
      <c r="F2814" s="2">
        <v>215</v>
      </c>
      <c r="G2814" s="3">
        <v>50.2</v>
      </c>
      <c r="H2814" s="4" t="str">
        <f>IF(AND(A2814="Yes",C2814="School"),COUNTIFS($A$6:A2814,"Yes",$C$6:C2814,"School"),"")</f>
        <v/>
      </c>
    </row>
    <row r="2815" spans="1:8">
      <c r="A2815" s="13"/>
      <c r="B2815" s="1" t="s">
        <v>5551</v>
      </c>
      <c r="C2815" s="1" t="s">
        <v>24</v>
      </c>
      <c r="D2815" s="1" t="s">
        <v>5558</v>
      </c>
      <c r="E2815" s="1" t="s">
        <v>5559</v>
      </c>
      <c r="F2815" s="2">
        <v>267</v>
      </c>
      <c r="G2815" s="3">
        <v>55.8</v>
      </c>
      <c r="H2815" s="4" t="str">
        <f>IF(AND(A2815="Yes",C2815="School"),COUNTIFS($A$6:A2815,"Yes",$C$6:C2815,"School"),"")</f>
        <v/>
      </c>
    </row>
    <row r="2816" spans="1:8">
      <c r="A2816" s="13"/>
      <c r="B2816" s="1" t="s">
        <v>5551</v>
      </c>
      <c r="C2816" s="1" t="s">
        <v>24</v>
      </c>
      <c r="D2816" s="1" t="s">
        <v>5560</v>
      </c>
      <c r="E2816" s="1" t="s">
        <v>5561</v>
      </c>
      <c r="F2816" s="2">
        <v>562</v>
      </c>
      <c r="G2816" s="3">
        <v>44.7</v>
      </c>
      <c r="H2816" s="4" t="str">
        <f>IF(AND(A2816="Yes",C2816="School"),COUNTIFS($A$6:A2816,"Yes",$C$6:C2816,"School"),"")</f>
        <v/>
      </c>
    </row>
    <row r="2817" spans="1:8">
      <c r="A2817" s="13"/>
      <c r="B2817" s="1" t="s">
        <v>5551</v>
      </c>
      <c r="C2817" s="1" t="s">
        <v>24</v>
      </c>
      <c r="D2817" s="1" t="s">
        <v>5562</v>
      </c>
      <c r="E2817" s="1" t="s">
        <v>5563</v>
      </c>
      <c r="F2817" s="2">
        <v>130</v>
      </c>
      <c r="G2817" s="3">
        <v>53.1</v>
      </c>
      <c r="H2817" s="4" t="str">
        <f>IF(AND(A2817="Yes",C2817="School"),COUNTIFS($A$6:A2817,"Yes",$C$6:C2817,"School"),"")</f>
        <v/>
      </c>
    </row>
    <row r="2818" spans="1:8">
      <c r="A2818" s="13"/>
      <c r="B2818" s="1" t="s">
        <v>5564</v>
      </c>
      <c r="C2818" s="1" t="s">
        <v>24</v>
      </c>
      <c r="D2818" s="1" t="s">
        <v>5564</v>
      </c>
      <c r="E2818" s="1" t="s">
        <v>5565</v>
      </c>
      <c r="F2818" s="2">
        <v>618</v>
      </c>
      <c r="G2818" s="3">
        <v>20.6</v>
      </c>
      <c r="H2818" s="4" t="str">
        <f>IF(AND(A2818="Yes",C2818="School"),COUNTIFS($A$6:A2818,"Yes",$C$6:C2818,"School"),"")</f>
        <v/>
      </c>
    </row>
    <row r="2819" spans="1:8">
      <c r="A2819" s="13"/>
      <c r="B2819" s="1" t="s">
        <v>5566</v>
      </c>
      <c r="C2819" s="1" t="s">
        <v>24</v>
      </c>
      <c r="D2819" s="1" t="s">
        <v>5566</v>
      </c>
      <c r="E2819" s="1" t="s">
        <v>5567</v>
      </c>
      <c r="F2819" s="2">
        <v>86</v>
      </c>
      <c r="G2819" s="3">
        <v>86</v>
      </c>
      <c r="H2819" s="4" t="str">
        <f>IF(AND(A2819="Yes",C2819="School"),COUNTIFS($A$6:A2819,"Yes",$C$6:C2819,"School"),"")</f>
        <v/>
      </c>
    </row>
  </sheetData>
  <mergeCells count="3">
    <mergeCell ref="A1:H1"/>
    <mergeCell ref="A2:F2"/>
    <mergeCell ref="A3:F3"/>
  </mergeCells>
  <dataValidations count="1">
    <dataValidation type="list" sqref="A6:A2819" xr:uid="{00000000-0002-0000-0100-000000000000}">
      <formula1>"Yes"</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E548AD73888941A6B68E948E44AADD" ma:contentTypeVersion="4" ma:contentTypeDescription="Create a new document." ma:contentTypeScope="" ma:versionID="73e527fa8277feefd4b9b99fbb3cd1e6">
  <xsd:schema xmlns:xsd="http://www.w3.org/2001/XMLSchema" xmlns:xs="http://www.w3.org/2001/XMLSchema" xmlns:p="http://schemas.microsoft.com/office/2006/metadata/properties" xmlns:ns1="http://schemas.microsoft.com/sharepoint/v3" xmlns:ns2="16f00c2e-ac5c-418b-9f13-a0771dbd417d" xmlns:ns3="7b7b584f-b248-4b7e-83b3-414c80c55410" targetNamespace="http://schemas.microsoft.com/office/2006/metadata/properties" ma:root="true" ma:fieldsID="a15ab3aa589151f7b427c1ad3fbfcf91" ns1:_="" ns2:_="" ns3:_="">
    <xsd:import namespace="http://schemas.microsoft.com/sharepoint/v3"/>
    <xsd:import namespace="16f00c2e-ac5c-418b-9f13-a0771dbd417d"/>
    <xsd:import namespace="7b7b584f-b248-4b7e-83b3-414c80c55410"/>
    <xsd:element name="properties">
      <xsd:complexType>
        <xsd:sequence>
          <xsd:element name="documentManagement">
            <xsd:complexType>
              <xsd:all>
                <xsd:element ref="ns2:_dlc_DocId" minOccurs="0"/>
                <xsd:element ref="ns2:_dlc_DocIdUrl" minOccurs="0"/>
                <xsd:element ref="ns2:_dlc_DocIdPersistId" minOccurs="0"/>
                <xsd:element ref="ns1:URL" minOccurs="0"/>
                <xsd:element ref="ns3:Order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11"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6f00c2e-ac5c-418b-9f13-a0771dbd417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b7b584f-b248-4b7e-83b3-414c80c55410" elementFormDefault="qualified">
    <xsd:import namespace="http://schemas.microsoft.com/office/2006/documentManagement/types"/>
    <xsd:import namespace="http://schemas.microsoft.com/office/infopath/2007/PartnerControls"/>
    <xsd:element name="Order0" ma:index="12" nillable="true" ma:displayName="Order" ma:internalName="Order0">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URL xmlns="http://schemas.microsoft.com/sharepoint/v3">
      <Url xsi:nil="true"/>
      <Description xsi:nil="true"/>
    </URL>
    <Order0 xmlns="7b7b584f-b248-4b7e-83b3-414c80c55410">60</Order0>
  </documentManagement>
</p:properties>
</file>

<file path=customXml/itemProps1.xml><?xml version="1.0" encoding="utf-8"?>
<ds:datastoreItem xmlns:ds="http://schemas.openxmlformats.org/officeDocument/2006/customXml" ds:itemID="{FF9C7B7E-2092-462D-9D5D-7FA534397DFF}"/>
</file>

<file path=customXml/itemProps2.xml><?xml version="1.0" encoding="utf-8"?>
<ds:datastoreItem xmlns:ds="http://schemas.openxmlformats.org/officeDocument/2006/customXml" ds:itemID="{4B144B4B-53DE-4645-B178-952567A20C1E}"/>
</file>

<file path=customXml/itemProps3.xml><?xml version="1.0" encoding="utf-8"?>
<ds:datastoreItem xmlns:ds="http://schemas.openxmlformats.org/officeDocument/2006/customXml" ds:itemID="{5BBF3D8C-A11C-4DB2-A03E-39D499E7A847}"/>
</file>

<file path=customXml/itemProps4.xml><?xml version="1.0" encoding="utf-8"?>
<ds:datastoreItem xmlns:ds="http://schemas.openxmlformats.org/officeDocument/2006/customXml" ds:itemID="{E9F2CD1E-29CC-4462-87FC-83AFEAF0FCA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School Information</vt:lpstr>
      <vt:lpstr>EDS Lookup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6 - SRTS School Information Template_10.06 update</dc:title>
  <dc:subject/>
  <dc:creator>Dave Cowan</dc:creator>
  <cp:keywords/>
  <dc:description/>
  <cp:lastModifiedBy>Delcourt, Jennifer A</cp:lastModifiedBy>
  <cp:revision/>
  <dcterms:created xsi:type="dcterms:W3CDTF">2026-10-05T18:40:21Z</dcterms:created>
  <dcterms:modified xsi:type="dcterms:W3CDTF">2026-10-06T00:51:32Z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0x0101008BE548AD73888941A6B68E948E44AADD</vt:lpwstr>
  </property>
  <property fmtid="{D5CDD505-2E9C-101B-9397-08002B2CF9AE}" pid="3" name="Order">
    <vt:r8>1100</vt:r8>
  </property>
</Properties>
</file>